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20" yWindow="360" windowWidth="9975" windowHeight="5895" tabRatio="869"/>
  </bookViews>
  <sheets>
    <sheet name="Fig 11.1" sheetId="15" r:id="rId1"/>
    <sheet name="Fig 11.3" sheetId="17" r:id="rId2"/>
    <sheet name="Fig 11.4" sheetId="1" r:id="rId3"/>
    <sheet name="Fig 11.5" sheetId="18" r:id="rId4"/>
    <sheet name="Fig 11.6" sheetId="14" r:id="rId5"/>
    <sheet name="Fig 11.7 Tornado Chart - NPI" sheetId="2" r:id="rId6"/>
    <sheet name="Fig 11.8 DataSens-license fee" sheetId="7" r:id="rId7"/>
    <sheet name="Fig 11.9" sheetId="9" r:id="rId8"/>
    <sheet name="Fig 11.10" sheetId="19" r:id="rId9"/>
    <sheet name="Fig 11.11" sheetId="20" r:id="rId10"/>
    <sheet name="Tornado on dates" sheetId="10" r:id="rId11"/>
    <sheet name="License model" sheetId="4" r:id="rId12"/>
    <sheet name="Base case outcome chart" sheetId="12" r:id="rId13"/>
  </sheets>
  <definedNames>
    <definedName name="MinimizeCosts" localSheetId="0">FALSE</definedName>
    <definedName name="MinimizeCosts" localSheetId="9">FALSE</definedName>
    <definedName name="MinimizeCosts" localSheetId="1">FALSE</definedName>
    <definedName name="_xlnm.Print_Area" localSheetId="9">'Fig 11.11'!TreeDiagram</definedName>
    <definedName name="_xlnm.Print_Area" localSheetId="1">'Fig 11.3'!TreeDiagram</definedName>
    <definedName name="TreeData" localSheetId="0">'Fig 11.1'!$GI$1006:$GW$1011</definedName>
    <definedName name="TreeData" localSheetId="9">'Fig 11.11'!$GG$985:$GU$995</definedName>
    <definedName name="TreeData" localSheetId="1">'Fig 11.3'!$GG$986:$GU$996</definedName>
    <definedName name="TreeDiagBase" localSheetId="0">'Fig 11.1'!$B$3</definedName>
    <definedName name="TreeDiagBase" localSheetId="9">'Fig 11.11'!$A$2</definedName>
    <definedName name="TreeDiagBase" localSheetId="1">'Fig 11.3'!$A$2</definedName>
    <definedName name="TreeDiagram" localSheetId="0">'Fig 11.1'!$B$3:$L$21</definedName>
    <definedName name="TreeDiagram" localSheetId="9">'Fig 11.11'!$A$2:$S$30</definedName>
    <definedName name="TreeDiagram" localSheetId="1">'Fig 11.3'!$A$2:$W$30</definedName>
    <definedName name="UseExpUtility" localSheetId="0">FALSE</definedName>
    <definedName name="UseExpUtility" localSheetId="9">FALSE</definedName>
    <definedName name="UseExpUtility" localSheetId="1">FALSE</definedName>
  </definedNames>
  <calcPr calcId="125725"/>
</workbook>
</file>

<file path=xl/calcChain.xml><?xml version="1.0" encoding="utf-8"?>
<calcChain xmlns="http://schemas.openxmlformats.org/spreadsheetml/2006/main">
  <c r="M30" i="20"/>
  <c r="Q25"/>
  <c r="M22"/>
  <c r="I26" s="1"/>
  <c r="Q20"/>
  <c r="S14"/>
  <c r="I15" s="1"/>
  <c r="E20" s="1"/>
  <c r="I10"/>
  <c r="S4"/>
  <c r="I5" s="1"/>
  <c r="E7" s="1"/>
  <c r="E33" i="19"/>
  <c r="E34" s="1"/>
  <c r="E36" s="1"/>
  <c r="D33"/>
  <c r="D34" s="1"/>
  <c r="D36" s="1"/>
  <c r="D28"/>
  <c r="D27"/>
  <c r="H9"/>
  <c r="C40" s="1"/>
  <c r="I8"/>
  <c r="I9" s="1"/>
  <c r="H8"/>
  <c r="C48" i="18"/>
  <c r="D41"/>
  <c r="D42" s="1"/>
  <c r="D38"/>
  <c r="D37"/>
  <c r="D36"/>
  <c r="D30"/>
  <c r="D29"/>
  <c r="F41" i="1"/>
  <c r="G41"/>
  <c r="H41" s="1"/>
  <c r="I41" s="1"/>
  <c r="J41" s="1"/>
  <c r="K41" s="1"/>
  <c r="L41" s="1"/>
  <c r="M41" s="1"/>
  <c r="N41" s="1"/>
  <c r="O41" s="1"/>
  <c r="P41" s="1"/>
  <c r="Q41" s="1"/>
  <c r="R41" s="1"/>
  <c r="S41" s="1"/>
  <c r="T41" s="1"/>
  <c r="U41" s="1"/>
  <c r="V41" s="1"/>
  <c r="E41"/>
  <c r="D41"/>
  <c r="Q30" i="17"/>
  <c r="U25"/>
  <c r="W19"/>
  <c r="U20" s="1"/>
  <c r="Q22" s="1"/>
  <c r="M26" s="1"/>
  <c r="M15"/>
  <c r="W9"/>
  <c r="I10" s="1"/>
  <c r="W4"/>
  <c r="E5" s="1"/>
  <c r="A13" i="20" l="1"/>
  <c r="F33" i="19"/>
  <c r="D39" i="18"/>
  <c r="E41"/>
  <c r="E42" s="1"/>
  <c r="E39"/>
  <c r="I20" i="17"/>
  <c r="E15" s="1"/>
  <c r="A10" s="1"/>
  <c r="F46" i="15"/>
  <c r="J41"/>
  <c r="N36"/>
  <c r="J33"/>
  <c r="F37" s="1"/>
  <c r="B41" s="1"/>
  <c r="N31"/>
  <c r="F21"/>
  <c r="L20"/>
  <c r="J16"/>
  <c r="J11"/>
  <c r="F11"/>
  <c r="B16" s="1"/>
  <c r="J6"/>
  <c r="F41" i="4"/>
  <c r="G41"/>
  <c r="H41"/>
  <c r="E41"/>
  <c r="D41"/>
  <c r="F33" i="9"/>
  <c r="G33"/>
  <c r="H33"/>
  <c r="E33"/>
  <c r="D33"/>
  <c r="C10" i="14"/>
  <c r="D10" s="1"/>
  <c r="C11"/>
  <c r="D42" i="1"/>
  <c r="C8" i="14"/>
  <c r="C7"/>
  <c r="D34" i="9"/>
  <c r="I8"/>
  <c r="I9"/>
  <c r="D27"/>
  <c r="E34"/>
  <c r="E36"/>
  <c r="F34"/>
  <c r="F36"/>
  <c r="G34"/>
  <c r="G36"/>
  <c r="D28"/>
  <c r="H9"/>
  <c r="C40"/>
  <c r="H8"/>
  <c r="D36"/>
  <c r="D36" i="4"/>
  <c r="D37"/>
  <c r="D42"/>
  <c r="C48"/>
  <c r="D30"/>
  <c r="D29"/>
  <c r="G42"/>
  <c r="G44"/>
  <c r="F42"/>
  <c r="E42"/>
  <c r="D38"/>
  <c r="E39"/>
  <c r="D39"/>
  <c r="D29" i="1"/>
  <c r="E42"/>
  <c r="E44" s="1"/>
  <c r="F42"/>
  <c r="G42"/>
  <c r="H42"/>
  <c r="I42"/>
  <c r="J42"/>
  <c r="K42"/>
  <c r="L42"/>
  <c r="M42"/>
  <c r="D30"/>
  <c r="N42"/>
  <c r="O42"/>
  <c r="P42"/>
  <c r="Q42"/>
  <c r="R42"/>
  <c r="S42"/>
  <c r="T42"/>
  <c r="U42"/>
  <c r="V42"/>
  <c r="V44" s="1"/>
  <c r="C48"/>
  <c r="D38"/>
  <c r="D37"/>
  <c r="D36"/>
  <c r="D39"/>
  <c r="E39"/>
  <c r="G44"/>
  <c r="I44"/>
  <c r="K44"/>
  <c r="M44"/>
  <c r="O44"/>
  <c r="Q44"/>
  <c r="S44"/>
  <c r="U44"/>
  <c r="J44"/>
  <c r="N44"/>
  <c r="R44"/>
  <c r="D44"/>
  <c r="F44"/>
  <c r="H44"/>
  <c r="L44"/>
  <c r="P44"/>
  <c r="T44"/>
  <c r="I41" i="4"/>
  <c r="H42"/>
  <c r="I33" i="9"/>
  <c r="H34"/>
  <c r="H36"/>
  <c r="H44" i="4"/>
  <c r="E44"/>
  <c r="F44"/>
  <c r="D44"/>
  <c r="J41"/>
  <c r="I42"/>
  <c r="I44"/>
  <c r="I34" i="9"/>
  <c r="I36"/>
  <c r="J33"/>
  <c r="K41" i="4"/>
  <c r="J42"/>
  <c r="J44"/>
  <c r="K33" i="9"/>
  <c r="J34"/>
  <c r="J36"/>
  <c r="L41" i="4"/>
  <c r="K42"/>
  <c r="K44"/>
  <c r="K34" i="9"/>
  <c r="K36"/>
  <c r="L33"/>
  <c r="M41" i="4"/>
  <c r="L42"/>
  <c r="L44"/>
  <c r="M33" i="9"/>
  <c r="L34"/>
  <c r="L36"/>
  <c r="N41" i="4"/>
  <c r="M42"/>
  <c r="M44"/>
  <c r="M34" i="9"/>
  <c r="M36"/>
  <c r="N33"/>
  <c r="O41" i="4"/>
  <c r="N42"/>
  <c r="N44"/>
  <c r="O33" i="9"/>
  <c r="N34"/>
  <c r="N36"/>
  <c r="P41" i="4"/>
  <c r="O42"/>
  <c r="O44"/>
  <c r="P33" i="9"/>
  <c r="O34"/>
  <c r="O36"/>
  <c r="Q41" i="4"/>
  <c r="P42"/>
  <c r="P44"/>
  <c r="Q33" i="9"/>
  <c r="P34"/>
  <c r="P36"/>
  <c r="R41" i="4"/>
  <c r="Q42"/>
  <c r="Q44"/>
  <c r="Q34" i="9"/>
  <c r="Q36"/>
  <c r="R33"/>
  <c r="S41" i="4"/>
  <c r="R42"/>
  <c r="R44"/>
  <c r="S33" i="9"/>
  <c r="R34"/>
  <c r="R36"/>
  <c r="S42" i="4"/>
  <c r="S44"/>
  <c r="T41"/>
  <c r="S34" i="9"/>
  <c r="S36"/>
  <c r="T33"/>
  <c r="U41" i="4"/>
  <c r="T42"/>
  <c r="T44"/>
  <c r="U33" i="9"/>
  <c r="T34"/>
  <c r="T36"/>
  <c r="U42" i="4"/>
  <c r="U44"/>
  <c r="V41"/>
  <c r="V42"/>
  <c r="V44"/>
  <c r="C46"/>
  <c r="C50"/>
  <c r="U34" i="9"/>
  <c r="U36"/>
  <c r="V33"/>
  <c r="V34"/>
  <c r="V36"/>
  <c r="C38"/>
  <c r="C42"/>
  <c r="F34" i="19" l="1"/>
  <c r="F36" s="1"/>
  <c r="G33"/>
  <c r="E10" i="14"/>
  <c r="D11"/>
  <c r="F10"/>
  <c r="E11"/>
  <c r="F41" i="18"/>
  <c r="E44"/>
  <c r="D44"/>
  <c r="F42"/>
  <c r="F44" s="1"/>
  <c r="G41"/>
  <c r="C46" i="1"/>
  <c r="C50" s="1"/>
  <c r="G34" i="19" l="1"/>
  <c r="G36" s="1"/>
  <c r="H33"/>
  <c r="G10" i="14"/>
  <c r="F11"/>
  <c r="G42" i="18"/>
  <c r="G44" s="1"/>
  <c r="H41"/>
  <c r="H34" i="19" l="1"/>
  <c r="H36" s="1"/>
  <c r="I33"/>
  <c r="H10" i="14"/>
  <c r="G11"/>
  <c r="H42" i="18"/>
  <c r="H44" s="1"/>
  <c r="I41"/>
  <c r="I34" i="19" l="1"/>
  <c r="I36" s="1"/>
  <c r="J33"/>
  <c r="I10" i="14"/>
  <c r="H11"/>
  <c r="I42" i="18"/>
  <c r="I44" s="1"/>
  <c r="J41"/>
  <c r="J34" i="19" l="1"/>
  <c r="J36" s="1"/>
  <c r="K33"/>
  <c r="J10" i="14"/>
  <c r="I11"/>
  <c r="J42" i="18"/>
  <c r="J44" s="1"/>
  <c r="K41"/>
  <c r="K34" i="19" l="1"/>
  <c r="K36" s="1"/>
  <c r="L33"/>
  <c r="K10" i="14"/>
  <c r="J11"/>
  <c r="K42" i="18"/>
  <c r="K44" s="1"/>
  <c r="L41"/>
  <c r="L34" i="19" l="1"/>
  <c r="L36" s="1"/>
  <c r="M33"/>
  <c r="L10" i="14"/>
  <c r="K11"/>
  <c r="L42" i="18"/>
  <c r="L44" s="1"/>
  <c r="M41"/>
  <c r="M34" i="19" l="1"/>
  <c r="M36" s="1"/>
  <c r="N33"/>
  <c r="M10" i="14"/>
  <c r="L11"/>
  <c r="M42" i="18"/>
  <c r="M44" s="1"/>
  <c r="N41"/>
  <c r="N34" i="19" l="1"/>
  <c r="N36" s="1"/>
  <c r="O33"/>
  <c r="N10" i="14"/>
  <c r="M11"/>
  <c r="N42" i="18"/>
  <c r="N44" s="1"/>
  <c r="O41"/>
  <c r="O34" i="19" l="1"/>
  <c r="O36" s="1"/>
  <c r="P33"/>
  <c r="O10" i="14"/>
  <c r="N11"/>
  <c r="O42" i="18"/>
  <c r="O44" s="1"/>
  <c r="P41"/>
  <c r="P34" i="19" l="1"/>
  <c r="P36" s="1"/>
  <c r="Q33"/>
  <c r="P10" i="14"/>
  <c r="O11"/>
  <c r="P42" i="18"/>
  <c r="P44" s="1"/>
  <c r="Q41"/>
  <c r="Q34" i="19" l="1"/>
  <c r="Q36" s="1"/>
  <c r="R33"/>
  <c r="P11" i="14"/>
  <c r="Q10"/>
  <c r="Q42" i="18"/>
  <c r="Q44" s="1"/>
  <c r="R41"/>
  <c r="R34" i="19" l="1"/>
  <c r="R36" s="1"/>
  <c r="S33"/>
  <c r="R10" i="14"/>
  <c r="Q11"/>
  <c r="R42" i="18"/>
  <c r="R44" s="1"/>
  <c r="S41"/>
  <c r="S34" i="19" l="1"/>
  <c r="S36" s="1"/>
  <c r="T33"/>
  <c r="R11" i="14"/>
  <c r="S10"/>
  <c r="S42" i="18"/>
  <c r="S44" s="1"/>
  <c r="T41"/>
  <c r="T34" i="19" l="1"/>
  <c r="T36" s="1"/>
  <c r="U33"/>
  <c r="T10" i="14"/>
  <c r="S11"/>
  <c r="T42" i="18"/>
  <c r="T44" s="1"/>
  <c r="U41"/>
  <c r="U34" i="19" l="1"/>
  <c r="U36" s="1"/>
  <c r="V33"/>
  <c r="V34" s="1"/>
  <c r="V36" s="1"/>
  <c r="C38" s="1"/>
  <c r="C42" s="1"/>
  <c r="U10" i="14"/>
  <c r="U11" s="1"/>
  <c r="T11"/>
  <c r="U42" i="18"/>
  <c r="U44" s="1"/>
  <c r="V41"/>
  <c r="V42" s="1"/>
  <c r="V44" s="1"/>
  <c r="C46" s="1"/>
  <c r="C50" s="1"/>
</calcChain>
</file>

<file path=xl/sharedStrings.xml><?xml version="1.0" encoding="utf-8"?>
<sst xmlns="http://schemas.openxmlformats.org/spreadsheetml/2006/main" count="381" uniqueCount="135">
  <si>
    <t>Discount rate</t>
  </si>
  <si>
    <t>Costs</t>
  </si>
  <si>
    <t>Phase II</t>
  </si>
  <si>
    <t>Phase III</t>
  </si>
  <si>
    <t>Regulatory approval</t>
  </si>
  <si>
    <t xml:space="preserve"> </t>
  </si>
  <si>
    <t>Share</t>
  </si>
  <si>
    <t>start</t>
  </si>
  <si>
    <t>peak</t>
  </si>
  <si>
    <t>patent expires</t>
  </si>
  <si>
    <t>end</t>
  </si>
  <si>
    <t>max</t>
  </si>
  <si>
    <t>upslope</t>
  </si>
  <si>
    <t>downslope</t>
  </si>
  <si>
    <t>US Margin</t>
  </si>
  <si>
    <t>M1</t>
  </si>
  <si>
    <t>Outcome probabilities</t>
  </si>
  <si>
    <t>Market size</t>
  </si>
  <si>
    <t>Margins</t>
  </si>
  <si>
    <t>Total market revenue</t>
  </si>
  <si>
    <t>Pharma X succeeds</t>
  </si>
  <si>
    <t>Pharma X share</t>
  </si>
  <si>
    <t>Pharma X fails</t>
  </si>
  <si>
    <t>Pharma X shares</t>
  </si>
  <si>
    <t>Pharma X alone</t>
  </si>
  <si>
    <t>Pharma X revenue</t>
  </si>
  <si>
    <t>PV Pharma X revenue</t>
  </si>
  <si>
    <t>Pharma X EV costs</t>
  </si>
  <si>
    <t>PV Pharma X NPI</t>
  </si>
  <si>
    <t xml:space="preserve">Pharma Y </t>
  </si>
  <si>
    <t>Pharma Y sues?</t>
  </si>
  <si>
    <t>Pharma Y wins</t>
  </si>
  <si>
    <t xml:space="preserve">Pharma X-Y </t>
  </si>
  <si>
    <t>Succeeds if X succeeds</t>
  </si>
  <si>
    <t>Succeeds if X fails</t>
  </si>
  <si>
    <t>DATA TABLE</t>
  </si>
  <si>
    <t>Parameter</t>
  </si>
  <si>
    <t>-10 Pct</t>
  </si>
  <si>
    <t>+10 Pct</t>
  </si>
  <si>
    <t>Range</t>
  </si>
  <si>
    <t>Base Case Result</t>
  </si>
  <si>
    <t>PARAMETER INFO</t>
  </si>
  <si>
    <t>Base Case</t>
  </si>
  <si>
    <t>% Sensitivity</t>
  </si>
  <si>
    <t>-%</t>
  </si>
  <si>
    <t>+%</t>
  </si>
  <si>
    <t>License fee</t>
  </si>
  <si>
    <t>M1 - Co-Development</t>
  </si>
  <si>
    <t>Case</t>
  </si>
  <si>
    <t>Alternatives</t>
  </si>
  <si>
    <t>Develop</t>
  </si>
  <si>
    <t>with One</t>
  </si>
  <si>
    <t>with Both</t>
  </si>
  <si>
    <t>Success Probability</t>
  </si>
  <si>
    <t>Dev Costs</t>
  </si>
  <si>
    <t>Co-Dev EV costs</t>
  </si>
  <si>
    <t>Co-Dev NPI</t>
  </si>
  <si>
    <t>10 Pctle</t>
  </si>
  <si>
    <t>90 Pctle</t>
  </si>
  <si>
    <t>Outcome</t>
  </si>
  <si>
    <t>Prob</t>
  </si>
  <si>
    <t>Pharma X contribution</t>
  </si>
  <si>
    <t>PV Pharma X contribution</t>
  </si>
  <si>
    <t>Pharma X NPI</t>
  </si>
  <si>
    <t>EV Co-Dev contribution</t>
  </si>
  <si>
    <t>PV Co-Dev contribution</t>
  </si>
  <si>
    <t>PARAMETERS</t>
  </si>
  <si>
    <t>CALCULATIONS</t>
  </si>
  <si>
    <t>U.S. Margin</t>
  </si>
  <si>
    <t>Y Succeeds if X Succeeds</t>
  </si>
  <si>
    <t>Market Size</t>
  </si>
  <si>
    <t>Discount Rate</t>
  </si>
  <si>
    <t>Pharma Y Wins</t>
  </si>
  <si>
    <t>Pharma Y Sues?</t>
  </si>
  <si>
    <t>Regulatory Approval Cost</t>
  </si>
  <si>
    <t>Y Succeeds if X Fails</t>
  </si>
  <si>
    <t>Phase 3 Success</t>
  </si>
  <si>
    <t>Phase 3 Cost</t>
  </si>
  <si>
    <t>Phase 2 Success</t>
  </si>
  <si>
    <t>Phase 2 Cost</t>
  </si>
  <si>
    <t>Expected Profit</t>
  </si>
  <si>
    <t>Profit</t>
  </si>
  <si>
    <t>Large</t>
  </si>
  <si>
    <t>Market</t>
  </si>
  <si>
    <t>R&amp;D Success</t>
  </si>
  <si>
    <t>Outcomes</t>
  </si>
  <si>
    <t>Medium</t>
  </si>
  <si>
    <t xml:space="preserve">R&amp;D </t>
  </si>
  <si>
    <t>Small</t>
  </si>
  <si>
    <t>R&amp;D Failure</t>
  </si>
  <si>
    <t>Expected Value of Profit = 0.4 x (0.2 x 1000 + 0.3 x 500 + 0.5 x 200) + 0.6 x 0 = 180</t>
  </si>
  <si>
    <t>Expected Costs</t>
  </si>
  <si>
    <t>Cost</t>
  </si>
  <si>
    <t>Success</t>
  </si>
  <si>
    <t>FDA</t>
  </si>
  <si>
    <t>Review</t>
  </si>
  <si>
    <t>Failure</t>
  </si>
  <si>
    <t>Phase 3</t>
  </si>
  <si>
    <t>Phase 2</t>
  </si>
  <si>
    <t>Expected Value of Costs = 0.3 x 0.6 x 0.9 x 45 + 0.3 x 0.6 x 0.1 x 45 + 0.3 x. 0.4 x 40 + 0.7 x 10 = 19.9</t>
  </si>
  <si>
    <t>NPI</t>
  </si>
  <si>
    <t>NPI = EV Profit/EV Cost = 180/19.9 = 9.05</t>
  </si>
  <si>
    <t>ID</t>
  </si>
  <si>
    <t>Name</t>
  </si>
  <si>
    <t>Value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</si>
  <si>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</si>
  <si>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</si>
  <si>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</si>
  <si>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</si>
  <si>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</si>
  <si>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</si>
  <si>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</si>
  <si>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</si>
  <si>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</si>
  <si>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</si>
  <si>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</si>
  <si>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</si>
  <si>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E</t>
  </si>
  <si>
    <t>T</t>
  </si>
  <si>
    <t>X Share</t>
  </si>
  <si>
    <t>Y Fails</t>
  </si>
  <si>
    <t>Y Wins</t>
  </si>
  <si>
    <t>Y Suit</t>
  </si>
  <si>
    <t>Y Loses</t>
  </si>
  <si>
    <t>Y Succeeds</t>
  </si>
  <si>
    <t>Y No Suit</t>
  </si>
  <si>
    <t>Pharma Y</t>
  </si>
  <si>
    <t>Lawsuit</t>
  </si>
  <si>
    <t>Suit Outcome</t>
  </si>
  <si>
    <t>Y Share</t>
  </si>
  <si>
    <t>X Fails</t>
  </si>
  <si>
    <t>X Succeeds</t>
  </si>
  <si>
    <t>X Success</t>
  </si>
  <si>
    <t>Y Success</t>
  </si>
  <si>
    <t>Y Sue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</si>
</sst>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164" formatCode="0.0"/>
    <numFmt numFmtId="165" formatCode="0.000"/>
    <numFmt numFmtId="166" formatCode="#,##0.0_);[Red]\(#,##0.0\)"/>
  </numFmts>
  <fonts count="14">
    <font>
      <sz val="10"/>
      <name val="Arial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12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3" fillId="0" borderId="0"/>
  </cellStyleXfs>
  <cellXfs count="65">
    <xf numFmtId="0" fontId="0" fillId="0" borderId="0" xfId="0"/>
    <xf numFmtId="0" fontId="1" fillId="0" borderId="0" xfId="0" applyFont="1"/>
    <xf numFmtId="15" fontId="1" fillId="0" borderId="0" xfId="0" applyNumberFormat="1" applyFont="1"/>
    <xf numFmtId="9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" fontId="0" fillId="0" borderId="0" xfId="0" applyNumberFormat="1"/>
    <xf numFmtId="0" fontId="3" fillId="0" borderId="0" xfId="0" applyFont="1"/>
    <xf numFmtId="164" fontId="4" fillId="0" borderId="0" xfId="0" applyNumberFormat="1" applyFont="1"/>
    <xf numFmtId="0" fontId="0" fillId="0" borderId="0" xfId="0" applyFill="1"/>
    <xf numFmtId="165" fontId="0" fillId="0" borderId="0" xfId="0" applyNumberFormat="1"/>
    <xf numFmtId="2" fontId="0" fillId="0" borderId="0" xfId="0" applyNumberFormat="1"/>
    <xf numFmtId="2" fontId="2" fillId="0" borderId="0" xfId="0" applyNumberFormat="1" applyFont="1"/>
    <xf numFmtId="1" fontId="1" fillId="0" borderId="0" xfId="0" applyNumberFormat="1" applyFont="1"/>
    <xf numFmtId="2" fontId="0" fillId="0" borderId="0" xfId="0" applyNumberFormat="1" applyFill="1"/>
    <xf numFmtId="164" fontId="3" fillId="0" borderId="0" xfId="0" applyNumberFormat="1" applyFont="1"/>
    <xf numFmtId="6" fontId="3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1" fillId="0" borderId="0" xfId="0" applyFont="1" applyAlignment="1">
      <alignment horizontal="left"/>
    </xf>
    <xf numFmtId="2" fontId="3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5" fontId="3" fillId="0" borderId="0" xfId="0" applyNumberFormat="1" applyFont="1" applyFill="1"/>
    <xf numFmtId="10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0" xfId="0" quotePrefix="1" applyFont="1" applyAlignment="1">
      <alignment horizontal="left"/>
    </xf>
    <xf numFmtId="6" fontId="0" fillId="0" borderId="0" xfId="0" applyNumberFormat="1"/>
    <xf numFmtId="166" fontId="0" fillId="0" borderId="0" xfId="0" applyNumberFormat="1"/>
    <xf numFmtId="2" fontId="3" fillId="0" borderId="0" xfId="0" quotePrefix="1" applyNumberFormat="1" applyFont="1" applyAlignment="1">
      <alignment horizontal="left"/>
    </xf>
    <xf numFmtId="0" fontId="10" fillId="2" borderId="0" xfId="1" applyFont="1" applyFill="1"/>
    <xf numFmtId="0" fontId="11" fillId="2" borderId="0" xfId="1" applyFont="1" applyFill="1"/>
    <xf numFmtId="0" fontId="9" fillId="0" borderId="0" xfId="1"/>
    <xf numFmtId="0" fontId="9" fillId="3" borderId="0" xfId="1" applyFill="1"/>
    <xf numFmtId="0" fontId="12" fillId="3" borderId="0" xfId="1" applyFont="1" applyFill="1" applyAlignment="1">
      <alignment horizontal="right"/>
    </xf>
    <xf numFmtId="0" fontId="12" fillId="3" borderId="0" xfId="1" applyFont="1" applyFill="1"/>
    <xf numFmtId="0" fontId="12" fillId="3" borderId="0" xfId="1" quotePrefix="1" applyFont="1" applyFill="1" applyAlignment="1" applyProtection="1">
      <alignment horizontal="right"/>
      <protection locked="0"/>
    </xf>
    <xf numFmtId="0" fontId="12" fillId="3" borderId="0" xfId="1" applyFont="1" applyFill="1" applyProtection="1">
      <protection locked="0"/>
    </xf>
    <xf numFmtId="0" fontId="13" fillId="3" borderId="0" xfId="1" applyFont="1" applyFill="1"/>
    <xf numFmtId="0" fontId="3" fillId="0" borderId="0" xfId="2"/>
    <xf numFmtId="0" fontId="3" fillId="0" borderId="0" xfId="2" applyProtection="1">
      <protection locked="0"/>
    </xf>
    <xf numFmtId="0" fontId="1" fillId="0" borderId="0" xfId="2" applyFont="1"/>
    <xf numFmtId="164" fontId="3" fillId="0" borderId="0" xfId="2" applyNumberFormat="1"/>
    <xf numFmtId="1" fontId="3" fillId="0" borderId="0" xfId="0" applyNumberFormat="1" applyFont="1"/>
    <xf numFmtId="9" fontId="1" fillId="0" borderId="0" xfId="0" applyNumberFormat="1" applyFont="1"/>
    <xf numFmtId="9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2" fontId="0" fillId="0" borderId="0" xfId="0" applyNumberFormat="1" applyBorder="1"/>
    <xf numFmtId="2" fontId="0" fillId="0" borderId="4" xfId="0" applyNumberFormat="1" applyBorder="1"/>
    <xf numFmtId="0" fontId="1" fillId="0" borderId="6" xfId="0" applyFon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0" xfId="2" applyFont="1" applyAlignment="1">
      <alignment horizontal="right"/>
    </xf>
    <xf numFmtId="0" fontId="13" fillId="3" borderId="0" xfId="1" applyFont="1" applyFill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>
        <c:manualLayout>
          <c:layoutTarget val="inner"/>
          <c:xMode val="edge"/>
          <c:yMode val="edge"/>
          <c:x val="0.13430441934734549"/>
          <c:y val="7.5718015665796362E-2"/>
          <c:w val="0.8430434033730968"/>
          <c:h val="0.6657963446475198"/>
        </c:manualLayout>
      </c:layout>
      <c:scatterChart>
        <c:scatterStyle val="lineMarker"/>
        <c:ser>
          <c:idx val="0"/>
          <c:order val="0"/>
          <c:xVal>
            <c:numRef>
              <c:f>'Fig 11.6'!$C$10:$U$10</c:f>
              <c:numCache>
                <c:formatCode>General</c:formatCod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numCache>
            </c:numRef>
          </c:xVal>
          <c:yVal>
            <c:numRef>
              <c:f>'Fig 11.6'!$C$11:$U$11</c:f>
              <c:numCache>
                <c:formatCode>0</c:formatCode>
                <c:ptCount val="19"/>
                <c:pt idx="0">
                  <c:v>0</c:v>
                </c:pt>
                <c:pt idx="1">
                  <c:v>166.66666666666666</c:v>
                </c:pt>
                <c:pt idx="2">
                  <c:v>333.33333333333331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437.5</c:v>
                </c:pt>
                <c:pt idx="12">
                  <c:v>375</c:v>
                </c:pt>
                <c:pt idx="13">
                  <c:v>312.5</c:v>
                </c:pt>
                <c:pt idx="14">
                  <c:v>250</c:v>
                </c:pt>
                <c:pt idx="15">
                  <c:v>187.5</c:v>
                </c:pt>
                <c:pt idx="16">
                  <c:v>125</c:v>
                </c:pt>
                <c:pt idx="17">
                  <c:v>62.5</c:v>
                </c:pt>
                <c:pt idx="18">
                  <c:v>0</c:v>
                </c:pt>
              </c:numCache>
            </c:numRef>
          </c:yVal>
        </c:ser>
        <c:axId val="304295296"/>
        <c:axId val="304576768"/>
      </c:scatterChart>
      <c:valAx>
        <c:axId val="304295296"/>
        <c:scaling>
          <c:orientation val="minMax"/>
          <c:max val="2030"/>
          <c:min val="2012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52589081704592766"/>
              <c:y val="0.88511749347258484"/>
            </c:manualLayout>
          </c:layout>
        </c:title>
        <c:numFmt formatCode="General" sourceLinked="1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304576768"/>
        <c:crosses val="autoZero"/>
        <c:crossBetween val="midCat"/>
        <c:majorUnit val="2"/>
        <c:minorUnit val="1"/>
      </c:valAx>
      <c:valAx>
        <c:axId val="3045767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Total Revenue ($M)</a:t>
                </a:r>
              </a:p>
            </c:rich>
          </c:tx>
          <c:layout>
            <c:manualLayout>
              <c:xMode val="edge"/>
              <c:yMode val="edge"/>
              <c:x val="2.5889967637540458E-2"/>
              <c:y val="0.27415143603133146"/>
            </c:manualLayout>
          </c:layout>
        </c:title>
        <c:numFmt formatCode="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04295296"/>
        <c:crosses val="autoZero"/>
        <c:crossBetween val="midCat"/>
      </c:valAx>
    </c:plotArea>
    <c:plotVisOnly val="1"/>
    <c:dispBlanksAs val="gap"/>
  </c:chart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Tornado Sensitivity Chart</a:t>
            </a:r>
          </a:p>
        </c:rich>
      </c:tx>
      <c:layout>
        <c:manualLayout>
          <c:xMode val="edge"/>
          <c:yMode val="edge"/>
          <c:x val="0.30408653846153844"/>
          <c:y val="2.7737226277372271E-2"/>
        </c:manualLayout>
      </c:layout>
    </c:title>
    <c:plotArea>
      <c:layout>
        <c:manualLayout>
          <c:layoutTarget val="inner"/>
          <c:xMode val="edge"/>
          <c:yMode val="edge"/>
          <c:x val="0.23477576721179083"/>
          <c:y val="0.19854029925091479"/>
          <c:w val="0.72435935291742382"/>
          <c:h val="0.7255479050520145"/>
        </c:manualLayout>
      </c:layout>
      <c:barChart>
        <c:barDir val="bar"/>
        <c:grouping val="clustered"/>
        <c:ser>
          <c:idx val="0"/>
          <c:order val="0"/>
          <c:tx>
            <c:strRef>
              <c:f>'Fig 11.7 Tornado Chart - NPI'!$O$2</c:f>
              <c:strCache>
                <c:ptCount val="1"/>
                <c:pt idx="0">
                  <c:v>-10 Pct</c:v>
                </c:pt>
              </c:strCache>
            </c:strRef>
          </c:tx>
          <c:cat>
            <c:strRef>
              <c:f>'Fig 11.7 Tornado Chart - NPI'!$N$3:$N$14</c:f>
              <c:strCache>
                <c:ptCount val="12"/>
                <c:pt idx="0">
                  <c:v>Y Succeeds if X Succeeds</c:v>
                </c:pt>
                <c:pt idx="1">
                  <c:v>Market Size</c:v>
                </c:pt>
                <c:pt idx="2">
                  <c:v>U.S. Margin</c:v>
                </c:pt>
                <c:pt idx="3">
                  <c:v>Phase 3 Success</c:v>
                </c:pt>
                <c:pt idx="4">
                  <c:v>Discount Rate</c:v>
                </c:pt>
                <c:pt idx="5">
                  <c:v>Phase 3 Cost</c:v>
                </c:pt>
                <c:pt idx="6">
                  <c:v>Pharma Y Wins</c:v>
                </c:pt>
                <c:pt idx="7">
                  <c:v>Pharma Y Sues?</c:v>
                </c:pt>
                <c:pt idx="8">
                  <c:v>Phase 2 Success</c:v>
                </c:pt>
                <c:pt idx="9">
                  <c:v>Phase 2 Cost</c:v>
                </c:pt>
                <c:pt idx="10">
                  <c:v>Regulatory Approval Cost</c:v>
                </c:pt>
                <c:pt idx="11">
                  <c:v>Y Succeeds if X Fails</c:v>
                </c:pt>
              </c:strCache>
            </c:strRef>
          </c:cat>
          <c:val>
            <c:numRef>
              <c:f>'Fig 11.7 Tornado Chart - NPI'!$O$3:$O$14</c:f>
              <c:numCache>
                <c:formatCode>0.0</c:formatCode>
                <c:ptCount val="12"/>
                <c:pt idx="0">
                  <c:v>11.494920777028335</c:v>
                </c:pt>
                <c:pt idx="1">
                  <c:v>8.7099611702377011</c:v>
                </c:pt>
                <c:pt idx="2">
                  <c:v>8.7099611702377011</c:v>
                </c:pt>
                <c:pt idx="3">
                  <c:v>8.7326433607851932</c:v>
                </c:pt>
                <c:pt idx="4">
                  <c:v>10.370824648974498</c:v>
                </c:pt>
                <c:pt idx="5">
                  <c:v>10.349799538708382</c:v>
                </c:pt>
                <c:pt idx="6">
                  <c:v>10.241688953972552</c:v>
                </c:pt>
                <c:pt idx="7">
                  <c:v>10.241688953972552</c:v>
                </c:pt>
                <c:pt idx="8">
                  <c:v>9.3407661574972582</c:v>
                </c:pt>
                <c:pt idx="9">
                  <c:v>10.002490829355752</c:v>
                </c:pt>
                <c:pt idx="10">
                  <c:v>9.7029370675391089</c:v>
                </c:pt>
                <c:pt idx="11">
                  <c:v>9.6777346335974475</c:v>
                </c:pt>
              </c:numCache>
            </c:numRef>
          </c:val>
        </c:ser>
        <c:ser>
          <c:idx val="1"/>
          <c:order val="1"/>
          <c:tx>
            <c:strRef>
              <c:f>'Fig 11.7 Tornado Chart - NPI'!$P$2</c:f>
              <c:strCache>
                <c:ptCount val="1"/>
                <c:pt idx="0">
                  <c:v>+10 Pct</c:v>
                </c:pt>
              </c:strCache>
            </c:strRef>
          </c:tx>
          <c:cat>
            <c:strRef>
              <c:f>'Fig 11.7 Tornado Chart - NPI'!$N$3:$N$14</c:f>
              <c:strCache>
                <c:ptCount val="12"/>
                <c:pt idx="0">
                  <c:v>Y Succeeds if X Succeeds</c:v>
                </c:pt>
                <c:pt idx="1">
                  <c:v>Market Size</c:v>
                </c:pt>
                <c:pt idx="2">
                  <c:v>U.S. Margin</c:v>
                </c:pt>
                <c:pt idx="3">
                  <c:v>Phase 3 Success</c:v>
                </c:pt>
                <c:pt idx="4">
                  <c:v>Discount Rate</c:v>
                </c:pt>
                <c:pt idx="5">
                  <c:v>Phase 3 Cost</c:v>
                </c:pt>
                <c:pt idx="6">
                  <c:v>Pharma Y Wins</c:v>
                </c:pt>
                <c:pt idx="7">
                  <c:v>Pharma Y Sues?</c:v>
                </c:pt>
                <c:pt idx="8">
                  <c:v>Phase 2 Success</c:v>
                </c:pt>
                <c:pt idx="9">
                  <c:v>Phase 2 Cost</c:v>
                </c:pt>
                <c:pt idx="10">
                  <c:v>Regulatory Approval Cost</c:v>
                </c:pt>
                <c:pt idx="11">
                  <c:v>Y Succeeds if X Fails</c:v>
                </c:pt>
              </c:strCache>
            </c:strRef>
          </c:cat>
          <c:val>
            <c:numRef>
              <c:f>'Fig 11.7 Tornado Chart - NPI'!$P$3:$P$14</c:f>
              <c:numCache>
                <c:formatCode>0.0</c:formatCode>
                <c:ptCount val="12"/>
                <c:pt idx="0">
                  <c:v>7.8605484901665585</c:v>
                </c:pt>
                <c:pt idx="1">
                  <c:v>10.645508096957194</c:v>
                </c:pt>
                <c:pt idx="2">
                  <c:v>10.645508096957194</c:v>
                </c:pt>
                <c:pt idx="3">
                  <c:v>10.61792906043658</c:v>
                </c:pt>
                <c:pt idx="4">
                  <c:v>9.046849178676144</c:v>
                </c:pt>
                <c:pt idx="5">
                  <c:v>9.0876288632561408</c:v>
                </c:pt>
                <c:pt idx="6">
                  <c:v>9.1137803132223425</c:v>
                </c:pt>
                <c:pt idx="7">
                  <c:v>9.1137803132223443</c:v>
                </c:pt>
                <c:pt idx="8">
                  <c:v>9.9720696285365449</c:v>
                </c:pt>
                <c:pt idx="9">
                  <c:v>9.3734033558113641</c:v>
                </c:pt>
                <c:pt idx="10">
                  <c:v>9.6526627822150708</c:v>
                </c:pt>
                <c:pt idx="11">
                  <c:v>9.6777346335974475</c:v>
                </c:pt>
              </c:numCache>
            </c:numRef>
          </c:val>
        </c:ser>
        <c:overlap val="100"/>
        <c:axId val="330156288"/>
        <c:axId val="333775232"/>
      </c:barChart>
      <c:catAx>
        <c:axId val="330156288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Parameter</a:t>
                </a:r>
              </a:p>
            </c:rich>
          </c:tx>
          <c:layout>
            <c:manualLayout>
              <c:xMode val="edge"/>
              <c:yMode val="edge"/>
              <c:x val="1.9230769230769239E-2"/>
              <c:y val="0.5080295036113186"/>
            </c:manualLayout>
          </c:layout>
        </c:title>
        <c:numFmt formatCode="0.00" sourceLinked="1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333775232"/>
        <c:crossesAt val="9.677734633597451"/>
        <c:auto val="1"/>
        <c:lblAlgn val="ctr"/>
        <c:lblOffset val="100"/>
        <c:tickLblSkip val="1"/>
        <c:tickMarkSkip val="1"/>
      </c:catAx>
      <c:valAx>
        <c:axId val="333775232"/>
        <c:scaling>
          <c:orientation val="minMax"/>
          <c:min val="7"/>
        </c:scaling>
        <c:axPos val="t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Pharma X NPI</a:t>
                </a:r>
              </a:p>
            </c:rich>
          </c:tx>
          <c:layout>
            <c:manualLayout>
              <c:xMode val="edge"/>
              <c:yMode val="edge"/>
              <c:x val="0.53405473955178684"/>
              <c:y val="0.11727509243826274"/>
            </c:manualLayout>
          </c:layout>
        </c:title>
        <c:numFmt formatCode="0.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0156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9759640621845352"/>
          <c:y val="0.94014659846351334"/>
          <c:w val="0.23557704926307288"/>
          <c:h val="4.9635036496350371E-2"/>
        </c:manualLayout>
      </c:layout>
    </c:legend>
    <c:plotVisOnly val="1"/>
    <c:dispBlanksAs val="gap"/>
  </c:chart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autoTitleDeleted val="1"/>
    <c:plotArea>
      <c:layout>
        <c:manualLayout>
          <c:layoutTarget val="inner"/>
          <c:xMode val="edge"/>
          <c:yMode val="edge"/>
          <c:x val="0.15178587971919441"/>
          <c:y val="9.8039591144267579E-2"/>
          <c:w val="0.76562583446593657"/>
          <c:h val="0.65490446884370734"/>
        </c:manualLayout>
      </c:layout>
      <c:scatterChart>
        <c:scatterStyle val="lineMarker"/>
        <c:ser>
          <c:idx val="0"/>
          <c:order val="0"/>
          <c:tx>
            <c:strRef>
              <c:f>'Fig 11.8 DataSens-license fee'!$B$1</c:f>
              <c:strCache>
                <c:ptCount val="1"/>
                <c:pt idx="0">
                  <c:v>Pharma X NPI</c:v>
                </c:pt>
              </c:strCache>
            </c:strRef>
          </c:tx>
          <c:xVal>
            <c:numRef>
              <c:f>'Fig 11.8 DataSens-license fee'!$A$2:$A$22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'Fig 11.8 DataSens-license fee'!$B$2:$B$22</c:f>
              <c:numCache>
                <c:formatCode>0.0</c:formatCode>
                <c:ptCount val="21"/>
                <c:pt idx="0">
                  <c:v>15.317277837348474</c:v>
                </c:pt>
                <c:pt idx="1">
                  <c:v>14.551413945481048</c:v>
                </c:pt>
                <c:pt idx="2">
                  <c:v>13.785550053613628</c:v>
                </c:pt>
                <c:pt idx="3">
                  <c:v>13.019686161746202</c:v>
                </c:pt>
                <c:pt idx="4">
                  <c:v>12.253822269878778</c:v>
                </c:pt>
                <c:pt idx="5">
                  <c:v>11.487958378011356</c:v>
                </c:pt>
                <c:pt idx="6">
                  <c:v>10.722094486143931</c:v>
                </c:pt>
                <c:pt idx="7">
                  <c:v>9.9562305942765068</c:v>
                </c:pt>
                <c:pt idx="8">
                  <c:v>9.1903667024090847</c:v>
                </c:pt>
                <c:pt idx="9">
                  <c:v>8.4245028105416608</c:v>
                </c:pt>
                <c:pt idx="10">
                  <c:v>7.658638918674237</c:v>
                </c:pt>
                <c:pt idx="11">
                  <c:v>6.8927750268068131</c:v>
                </c:pt>
                <c:pt idx="12">
                  <c:v>6.1269111349393892</c:v>
                </c:pt>
                <c:pt idx="13">
                  <c:v>5.3610472430719653</c:v>
                </c:pt>
                <c:pt idx="14">
                  <c:v>4.5951833512045432</c:v>
                </c:pt>
                <c:pt idx="15">
                  <c:v>3.8293194593371185</c:v>
                </c:pt>
                <c:pt idx="16">
                  <c:v>3.0634555674696942</c:v>
                </c:pt>
                <c:pt idx="17">
                  <c:v>2.2975916756022716</c:v>
                </c:pt>
                <c:pt idx="18">
                  <c:v>1.5317277837348471</c:v>
                </c:pt>
                <c:pt idx="19">
                  <c:v>0.76586389186742443</c:v>
                </c:pt>
                <c:pt idx="20">
                  <c:v>0</c:v>
                </c:pt>
              </c:numCache>
            </c:numRef>
          </c:yVal>
        </c:ser>
        <c:axId val="335339520"/>
        <c:axId val="335341824"/>
      </c:scatterChart>
      <c:valAx>
        <c:axId val="335339520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License fee</a:t>
                </a:r>
              </a:p>
            </c:rich>
          </c:tx>
          <c:layout>
            <c:manualLayout>
              <c:xMode val="edge"/>
              <c:yMode val="edge"/>
              <c:x val="0.46651832583427083"/>
              <c:y val="0.85882682311769865"/>
            </c:manualLayout>
          </c:layout>
        </c:title>
        <c:numFmt formatCode="0%" sourceLinked="1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5341824"/>
        <c:crossesAt val="0"/>
        <c:crossBetween val="midCat"/>
        <c:minorUnit val="0.1"/>
      </c:valAx>
      <c:valAx>
        <c:axId val="335341824"/>
        <c:scaling>
          <c:orientation val="minMax"/>
          <c:max val="16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Pharma X NPI</a:t>
                </a:r>
              </a:p>
            </c:rich>
          </c:tx>
          <c:layout>
            <c:manualLayout>
              <c:xMode val="edge"/>
              <c:yMode val="edge"/>
              <c:x val="2.7682172258588163E-2"/>
              <c:y val="0.28253446767429941"/>
            </c:manualLayout>
          </c:layout>
        </c:title>
        <c:numFmt formatCode="0.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5339520"/>
        <c:crosses val="autoZero"/>
        <c:crossBetween val="midCat"/>
      </c:valAx>
    </c:plotArea>
    <c:plotVisOnly val="1"/>
    <c:dispBlanksAs val="gap"/>
  </c:chart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Tornado Sensitivity Chart</a:t>
            </a:r>
          </a:p>
        </c:rich>
      </c:tx>
      <c:layout>
        <c:manualLayout>
          <c:xMode val="edge"/>
          <c:yMode val="edge"/>
          <c:x val="0.3050239234449762"/>
          <c:y val="2.7149321266968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181818181818188"/>
          <c:y val="0.25188574054625718"/>
          <c:w val="0.77751196172248793"/>
          <c:h val="0.66968424432657614"/>
        </c:manualLayout>
      </c:layout>
      <c:barChart>
        <c:barDir val="bar"/>
        <c:grouping val="clustered"/>
        <c:ser>
          <c:idx val="0"/>
          <c:order val="0"/>
          <c:tx>
            <c:strRef>
              <c:f>'Tornado on dates'!$O$2</c:f>
              <c:strCache>
                <c:ptCount val="1"/>
                <c:pt idx="0">
                  <c:v>10 Pctle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'Tornado on dates'!$N$3:$N$6</c:f>
              <c:strCache>
                <c:ptCount val="4"/>
                <c:pt idx="0">
                  <c:v>peak</c:v>
                </c:pt>
                <c:pt idx="1">
                  <c:v>start</c:v>
                </c:pt>
                <c:pt idx="2">
                  <c:v>patent expires</c:v>
                </c:pt>
                <c:pt idx="3">
                  <c:v>end</c:v>
                </c:pt>
              </c:strCache>
            </c:strRef>
          </c:cat>
          <c:val>
            <c:numRef>
              <c:f>'Tornado on dates'!$O$3:$O$6</c:f>
              <c:numCache>
                <c:formatCode>0.00</c:formatCode>
                <c:ptCount val="4"/>
                <c:pt idx="0">
                  <c:v>10.334677709304611</c:v>
                </c:pt>
                <c:pt idx="1">
                  <c:v>9.0602852032040566</c:v>
                </c:pt>
                <c:pt idx="2">
                  <c:v>9.4362190026579196</c:v>
                </c:pt>
                <c:pt idx="3">
                  <c:v>9.490977154569018</c:v>
                </c:pt>
              </c:numCache>
            </c:numRef>
          </c:val>
        </c:ser>
        <c:ser>
          <c:idx val="1"/>
          <c:order val="1"/>
          <c:tx>
            <c:strRef>
              <c:f>'Tornado on dates'!$P$2</c:f>
              <c:strCache>
                <c:ptCount val="1"/>
                <c:pt idx="0">
                  <c:v>90 Pctle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'Tornado on dates'!$N$3:$N$6</c:f>
              <c:strCache>
                <c:ptCount val="4"/>
                <c:pt idx="0">
                  <c:v>peak</c:v>
                </c:pt>
                <c:pt idx="1">
                  <c:v>start</c:v>
                </c:pt>
                <c:pt idx="2">
                  <c:v>patent expires</c:v>
                </c:pt>
                <c:pt idx="3">
                  <c:v>end</c:v>
                </c:pt>
              </c:strCache>
            </c:strRef>
          </c:cat>
          <c:val>
            <c:numRef>
              <c:f>'Tornado on dates'!$P$3:$P$6</c:f>
              <c:numCache>
                <c:formatCode>0.00</c:formatCode>
                <c:ptCount val="4"/>
                <c:pt idx="0">
                  <c:v>9.0602852032040566</c:v>
                </c:pt>
                <c:pt idx="1">
                  <c:v>10.213306994437891</c:v>
                </c:pt>
                <c:pt idx="2">
                  <c:v>9.9035168153505442</c:v>
                </c:pt>
                <c:pt idx="3">
                  <c:v>9.8537366772495503</c:v>
                </c:pt>
              </c:numCache>
            </c:numRef>
          </c:val>
        </c:ser>
        <c:overlap val="100"/>
        <c:axId val="356009856"/>
        <c:axId val="356082048"/>
      </c:barChart>
      <c:catAx>
        <c:axId val="356009856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Parameter</a:t>
                </a:r>
              </a:p>
            </c:rich>
          </c:tx>
          <c:layout>
            <c:manualLayout>
              <c:xMode val="edge"/>
              <c:yMode val="edge"/>
              <c:x val="1.9138755980861243E-2"/>
              <c:y val="0.50829641769891898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6082048"/>
        <c:crossesAt val="9.6777346335974492"/>
        <c:auto val="1"/>
        <c:lblAlgn val="ctr"/>
        <c:lblOffset val="100"/>
        <c:tickLblSkip val="1"/>
        <c:tickMarkSkip val="1"/>
      </c:catAx>
      <c:valAx>
        <c:axId val="35608204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Output Measure</a:t>
                </a:r>
              </a:p>
            </c:rich>
          </c:tx>
          <c:layout>
            <c:manualLayout>
              <c:xMode val="edge"/>
              <c:yMode val="edge"/>
              <c:x val="0.47488038277511968"/>
              <c:y val="0.1357467646860884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6009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497607655502391"/>
          <c:y val="0.9381613044975714"/>
          <c:w val="0.25"/>
          <c:h val="5.12820512820513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152400</xdr:colOff>
      <xdr:row>9</xdr:row>
      <xdr:rowOff>152400</xdr:rowOff>
    </xdr:to>
    <xdr:sp macro="" textlink="">
      <xdr:nvSpPr>
        <xdr:cNvPr id="2" name="Oval 51"/>
        <xdr:cNvSpPr>
          <a:spLocks noChangeArrowheads="1"/>
        </xdr:cNvSpPr>
      </xdr:nvSpPr>
      <xdr:spPr bwMode="auto">
        <a:xfrm>
          <a:off x="3914775" y="1838325"/>
          <a:ext cx="15240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</xdr:row>
      <xdr:rowOff>76200</xdr:rowOff>
    </xdr:from>
    <xdr:to>
      <xdr:col>6</xdr:col>
      <xdr:colOff>0</xdr:colOff>
      <xdr:row>9</xdr:row>
      <xdr:rowOff>76200</xdr:rowOff>
    </xdr:to>
    <xdr:sp macro="" textlink="">
      <xdr:nvSpPr>
        <xdr:cNvPr id="3" name="Line 52"/>
        <xdr:cNvSpPr>
          <a:spLocks noChangeShapeType="1"/>
        </xdr:cNvSpPr>
      </xdr:nvSpPr>
      <xdr:spPr bwMode="auto">
        <a:xfrm>
          <a:off x="2124075" y="1914525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9</xdr:row>
      <xdr:rowOff>76200</xdr:rowOff>
    </xdr:from>
    <xdr:to>
      <xdr:col>4</xdr:col>
      <xdr:colOff>0</xdr:colOff>
      <xdr:row>14</xdr:row>
      <xdr:rowOff>76200</xdr:rowOff>
    </xdr:to>
    <xdr:sp macro="" textlink="">
      <xdr:nvSpPr>
        <xdr:cNvPr id="4" name="Line 53"/>
        <xdr:cNvSpPr>
          <a:spLocks noChangeShapeType="1"/>
        </xdr:cNvSpPr>
      </xdr:nvSpPr>
      <xdr:spPr bwMode="auto">
        <a:xfrm flipV="1">
          <a:off x="1524000" y="1914525"/>
          <a:ext cx="60007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0</xdr:colOff>
      <xdr:row>19</xdr:row>
      <xdr:rowOff>152400</xdr:rowOff>
    </xdr:to>
    <xdr:sp macro="" textlink="">
      <xdr:nvSpPr>
        <xdr:cNvPr id="5" name="Line 54"/>
        <xdr:cNvSpPr>
          <a:spLocks noChangeShapeType="1"/>
        </xdr:cNvSpPr>
      </xdr:nvSpPr>
      <xdr:spPr bwMode="auto">
        <a:xfrm>
          <a:off x="3914775" y="3838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76200</xdr:rowOff>
    </xdr:from>
    <xdr:to>
      <xdr:col>6</xdr:col>
      <xdr:colOff>0</xdr:colOff>
      <xdr:row>19</xdr:row>
      <xdr:rowOff>76200</xdr:rowOff>
    </xdr:to>
    <xdr:sp macro="" textlink="">
      <xdr:nvSpPr>
        <xdr:cNvPr id="6" name="Line 56"/>
        <xdr:cNvSpPr>
          <a:spLocks noChangeShapeType="1"/>
        </xdr:cNvSpPr>
      </xdr:nvSpPr>
      <xdr:spPr bwMode="auto">
        <a:xfrm>
          <a:off x="2124075" y="3914775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14</xdr:row>
      <xdr:rowOff>76200</xdr:rowOff>
    </xdr:from>
    <xdr:to>
      <xdr:col>4</xdr:col>
      <xdr:colOff>0</xdr:colOff>
      <xdr:row>19</xdr:row>
      <xdr:rowOff>76200</xdr:rowOff>
    </xdr:to>
    <xdr:sp macro="" textlink="">
      <xdr:nvSpPr>
        <xdr:cNvPr id="7" name="Line 57"/>
        <xdr:cNvSpPr>
          <a:spLocks noChangeShapeType="1"/>
        </xdr:cNvSpPr>
      </xdr:nvSpPr>
      <xdr:spPr bwMode="auto">
        <a:xfrm>
          <a:off x="1524000" y="2914650"/>
          <a:ext cx="60007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0</xdr:colOff>
      <xdr:row>4</xdr:row>
      <xdr:rowOff>152400</xdr:rowOff>
    </xdr:to>
    <xdr:sp macro="" textlink="">
      <xdr:nvSpPr>
        <xdr:cNvPr id="8" name="Line 58"/>
        <xdr:cNvSpPr>
          <a:spLocks noChangeShapeType="1"/>
        </xdr:cNvSpPr>
      </xdr:nvSpPr>
      <xdr:spPr bwMode="auto">
        <a:xfrm>
          <a:off x="6200775" y="838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76200</xdr:rowOff>
    </xdr:from>
    <xdr:to>
      <xdr:col>10</xdr:col>
      <xdr:colOff>0</xdr:colOff>
      <xdr:row>4</xdr:row>
      <xdr:rowOff>76200</xdr:rowOff>
    </xdr:to>
    <xdr:sp macro="" textlink="">
      <xdr:nvSpPr>
        <xdr:cNvPr id="9" name="Line 59"/>
        <xdr:cNvSpPr>
          <a:spLocks noChangeShapeType="1"/>
        </xdr:cNvSpPr>
      </xdr:nvSpPr>
      <xdr:spPr bwMode="auto">
        <a:xfrm>
          <a:off x="4829175" y="91440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4</xdr:row>
      <xdr:rowOff>76200</xdr:rowOff>
    </xdr:from>
    <xdr:to>
      <xdr:col>8</xdr:col>
      <xdr:colOff>0</xdr:colOff>
      <xdr:row>9</xdr:row>
      <xdr:rowOff>76200</xdr:rowOff>
    </xdr:to>
    <xdr:sp macro="" textlink="">
      <xdr:nvSpPr>
        <xdr:cNvPr id="10" name="Line 60"/>
        <xdr:cNvSpPr>
          <a:spLocks noChangeShapeType="1"/>
        </xdr:cNvSpPr>
      </xdr:nvSpPr>
      <xdr:spPr bwMode="auto">
        <a:xfrm flipV="1">
          <a:off x="4067175" y="914400"/>
          <a:ext cx="7620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0</xdr:colOff>
      <xdr:row>9</xdr:row>
      <xdr:rowOff>152400</xdr:rowOff>
    </xdr:to>
    <xdr:sp macro="" textlink="">
      <xdr:nvSpPr>
        <xdr:cNvPr id="11" name="Line 61"/>
        <xdr:cNvSpPr>
          <a:spLocks noChangeShapeType="1"/>
        </xdr:cNvSpPr>
      </xdr:nvSpPr>
      <xdr:spPr bwMode="auto">
        <a:xfrm>
          <a:off x="6200775" y="1838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10</xdr:col>
      <xdr:colOff>0</xdr:colOff>
      <xdr:row>9</xdr:row>
      <xdr:rowOff>76200</xdr:rowOff>
    </xdr:to>
    <xdr:sp macro="" textlink="">
      <xdr:nvSpPr>
        <xdr:cNvPr id="12" name="Line 62"/>
        <xdr:cNvSpPr>
          <a:spLocks noChangeShapeType="1"/>
        </xdr:cNvSpPr>
      </xdr:nvSpPr>
      <xdr:spPr bwMode="auto">
        <a:xfrm>
          <a:off x="4829175" y="191452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9</xdr:row>
      <xdr:rowOff>76200</xdr:rowOff>
    </xdr:from>
    <xdr:to>
      <xdr:col>8</xdr:col>
      <xdr:colOff>0</xdr:colOff>
      <xdr:row>9</xdr:row>
      <xdr:rowOff>76200</xdr:rowOff>
    </xdr:to>
    <xdr:sp macro="" textlink="">
      <xdr:nvSpPr>
        <xdr:cNvPr id="13" name="Line 63"/>
        <xdr:cNvSpPr>
          <a:spLocks noChangeShapeType="1"/>
        </xdr:cNvSpPr>
      </xdr:nvSpPr>
      <xdr:spPr bwMode="auto">
        <a:xfrm>
          <a:off x="4067175" y="191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152400</xdr:rowOff>
    </xdr:to>
    <xdr:sp macro="" textlink="">
      <xdr:nvSpPr>
        <xdr:cNvPr id="14" name="Line 64"/>
        <xdr:cNvSpPr>
          <a:spLocks noChangeShapeType="1"/>
        </xdr:cNvSpPr>
      </xdr:nvSpPr>
      <xdr:spPr bwMode="auto">
        <a:xfrm>
          <a:off x="6200775" y="2838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76200</xdr:rowOff>
    </xdr:from>
    <xdr:to>
      <xdr:col>10</xdr:col>
      <xdr:colOff>0</xdr:colOff>
      <xdr:row>14</xdr:row>
      <xdr:rowOff>76200</xdr:rowOff>
    </xdr:to>
    <xdr:sp macro="" textlink="">
      <xdr:nvSpPr>
        <xdr:cNvPr id="15" name="Line 65"/>
        <xdr:cNvSpPr>
          <a:spLocks noChangeShapeType="1"/>
        </xdr:cNvSpPr>
      </xdr:nvSpPr>
      <xdr:spPr bwMode="auto">
        <a:xfrm>
          <a:off x="4829175" y="291465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9</xdr:row>
      <xdr:rowOff>76200</xdr:rowOff>
    </xdr:from>
    <xdr:to>
      <xdr:col>8</xdr:col>
      <xdr:colOff>0</xdr:colOff>
      <xdr:row>14</xdr:row>
      <xdr:rowOff>76200</xdr:rowOff>
    </xdr:to>
    <xdr:sp macro="" textlink="">
      <xdr:nvSpPr>
        <xdr:cNvPr id="16" name="Line 66"/>
        <xdr:cNvSpPr>
          <a:spLocks noChangeShapeType="1"/>
        </xdr:cNvSpPr>
      </xdr:nvSpPr>
      <xdr:spPr bwMode="auto">
        <a:xfrm>
          <a:off x="4067175" y="1914525"/>
          <a:ext cx="7620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sp macro="" textlink="">
      <xdr:nvSpPr>
        <xdr:cNvPr id="17" name="Oval 67"/>
        <xdr:cNvSpPr>
          <a:spLocks noChangeArrowheads="1"/>
        </xdr:cNvSpPr>
      </xdr:nvSpPr>
      <xdr:spPr bwMode="auto">
        <a:xfrm>
          <a:off x="1371600" y="2838450"/>
          <a:ext cx="15240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</xdr:row>
      <xdr:rowOff>76200</xdr:rowOff>
    </xdr:from>
    <xdr:to>
      <xdr:col>2</xdr:col>
      <xdr:colOff>0</xdr:colOff>
      <xdr:row>14</xdr:row>
      <xdr:rowOff>76200</xdr:rowOff>
    </xdr:to>
    <xdr:sp macro="" textlink="">
      <xdr:nvSpPr>
        <xdr:cNvPr id="18" name="Line 68"/>
        <xdr:cNvSpPr>
          <a:spLocks noChangeShapeType="1"/>
        </xdr:cNvSpPr>
      </xdr:nvSpPr>
      <xdr:spPr bwMode="auto">
        <a:xfrm>
          <a:off x="685800" y="291465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152400</xdr:rowOff>
    </xdr:to>
    <xdr:sp macro="" textlink="">
      <xdr:nvSpPr>
        <xdr:cNvPr id="19" name="Oval 35"/>
        <xdr:cNvSpPr>
          <a:spLocks noChangeArrowheads="1"/>
        </xdr:cNvSpPr>
      </xdr:nvSpPr>
      <xdr:spPr bwMode="auto">
        <a:xfrm>
          <a:off x="3914775" y="7077075"/>
          <a:ext cx="15240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76200</xdr:rowOff>
    </xdr:from>
    <xdr:to>
      <xdr:col>6</xdr:col>
      <xdr:colOff>0</xdr:colOff>
      <xdr:row>35</xdr:row>
      <xdr:rowOff>76200</xdr:rowOff>
    </xdr:to>
    <xdr:sp macro="" textlink="">
      <xdr:nvSpPr>
        <xdr:cNvPr id="20" name="Line 36"/>
        <xdr:cNvSpPr>
          <a:spLocks noChangeShapeType="1"/>
        </xdr:cNvSpPr>
      </xdr:nvSpPr>
      <xdr:spPr bwMode="auto">
        <a:xfrm>
          <a:off x="2124075" y="7153275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35</xdr:row>
      <xdr:rowOff>76200</xdr:rowOff>
    </xdr:from>
    <xdr:to>
      <xdr:col>4</xdr:col>
      <xdr:colOff>0</xdr:colOff>
      <xdr:row>39</xdr:row>
      <xdr:rowOff>76200</xdr:rowOff>
    </xdr:to>
    <xdr:sp macro="" textlink="">
      <xdr:nvSpPr>
        <xdr:cNvPr id="21" name="Line 37"/>
        <xdr:cNvSpPr>
          <a:spLocks noChangeShapeType="1"/>
        </xdr:cNvSpPr>
      </xdr:nvSpPr>
      <xdr:spPr bwMode="auto">
        <a:xfrm flipV="1">
          <a:off x="1524000" y="7153275"/>
          <a:ext cx="6000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0</xdr:colOff>
      <xdr:row>44</xdr:row>
      <xdr:rowOff>152400</xdr:rowOff>
    </xdr:to>
    <xdr:sp macro="" textlink="">
      <xdr:nvSpPr>
        <xdr:cNvPr id="22" name="Line 38"/>
        <xdr:cNvSpPr>
          <a:spLocks noChangeShapeType="1"/>
        </xdr:cNvSpPr>
      </xdr:nvSpPr>
      <xdr:spPr bwMode="auto">
        <a:xfrm>
          <a:off x="3914775" y="887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44</xdr:row>
      <xdr:rowOff>76200</xdr:rowOff>
    </xdr:from>
    <xdr:to>
      <xdr:col>6</xdr:col>
      <xdr:colOff>0</xdr:colOff>
      <xdr:row>44</xdr:row>
      <xdr:rowOff>76200</xdr:rowOff>
    </xdr:to>
    <xdr:sp macro="" textlink="">
      <xdr:nvSpPr>
        <xdr:cNvPr id="23" name="Line 40"/>
        <xdr:cNvSpPr>
          <a:spLocks noChangeShapeType="1"/>
        </xdr:cNvSpPr>
      </xdr:nvSpPr>
      <xdr:spPr bwMode="auto">
        <a:xfrm>
          <a:off x="2124075" y="89535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39</xdr:row>
      <xdr:rowOff>76200</xdr:rowOff>
    </xdr:from>
    <xdr:to>
      <xdr:col>4</xdr:col>
      <xdr:colOff>0</xdr:colOff>
      <xdr:row>44</xdr:row>
      <xdr:rowOff>76200</xdr:rowOff>
    </xdr:to>
    <xdr:sp macro="" textlink="">
      <xdr:nvSpPr>
        <xdr:cNvPr id="24" name="Line 41"/>
        <xdr:cNvSpPr>
          <a:spLocks noChangeShapeType="1"/>
        </xdr:cNvSpPr>
      </xdr:nvSpPr>
      <xdr:spPr bwMode="auto">
        <a:xfrm>
          <a:off x="1524000" y="7953375"/>
          <a:ext cx="60007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133350</xdr:colOff>
      <xdr:row>31</xdr:row>
      <xdr:rowOff>152400</xdr:rowOff>
    </xdr:to>
    <xdr:sp macro="" textlink="">
      <xdr:nvSpPr>
        <xdr:cNvPr id="25" name="Oval 42"/>
        <xdr:cNvSpPr>
          <a:spLocks noChangeArrowheads="1"/>
        </xdr:cNvSpPr>
      </xdr:nvSpPr>
      <xdr:spPr bwMode="auto">
        <a:xfrm>
          <a:off x="6200775" y="6276975"/>
          <a:ext cx="13335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76200</xdr:rowOff>
    </xdr:from>
    <xdr:to>
      <xdr:col>10</xdr:col>
      <xdr:colOff>0</xdr:colOff>
      <xdr:row>31</xdr:row>
      <xdr:rowOff>76200</xdr:rowOff>
    </xdr:to>
    <xdr:sp macro="" textlink="">
      <xdr:nvSpPr>
        <xdr:cNvPr id="26" name="Line 43"/>
        <xdr:cNvSpPr>
          <a:spLocks noChangeShapeType="1"/>
        </xdr:cNvSpPr>
      </xdr:nvSpPr>
      <xdr:spPr bwMode="auto">
        <a:xfrm>
          <a:off x="4829175" y="63531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31</xdr:row>
      <xdr:rowOff>76200</xdr:rowOff>
    </xdr:from>
    <xdr:to>
      <xdr:col>8</xdr:col>
      <xdr:colOff>0</xdr:colOff>
      <xdr:row>35</xdr:row>
      <xdr:rowOff>76200</xdr:rowOff>
    </xdr:to>
    <xdr:sp macro="" textlink="">
      <xdr:nvSpPr>
        <xdr:cNvPr id="27" name="Line 44"/>
        <xdr:cNvSpPr>
          <a:spLocks noChangeShapeType="1"/>
        </xdr:cNvSpPr>
      </xdr:nvSpPr>
      <xdr:spPr bwMode="auto">
        <a:xfrm flipV="1">
          <a:off x="4067175" y="6353175"/>
          <a:ext cx="76200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0</xdr:colOff>
      <xdr:row>39</xdr:row>
      <xdr:rowOff>152400</xdr:rowOff>
    </xdr:to>
    <xdr:sp macro="" textlink="">
      <xdr:nvSpPr>
        <xdr:cNvPr id="28" name="Line 45"/>
        <xdr:cNvSpPr>
          <a:spLocks noChangeShapeType="1"/>
        </xdr:cNvSpPr>
      </xdr:nvSpPr>
      <xdr:spPr bwMode="auto">
        <a:xfrm>
          <a:off x="6200775" y="7877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39</xdr:row>
      <xdr:rowOff>76200</xdr:rowOff>
    </xdr:from>
    <xdr:to>
      <xdr:col>10</xdr:col>
      <xdr:colOff>0</xdr:colOff>
      <xdr:row>39</xdr:row>
      <xdr:rowOff>76200</xdr:rowOff>
    </xdr:to>
    <xdr:sp macro="" textlink="">
      <xdr:nvSpPr>
        <xdr:cNvPr id="29" name="Line 47"/>
        <xdr:cNvSpPr>
          <a:spLocks noChangeShapeType="1"/>
        </xdr:cNvSpPr>
      </xdr:nvSpPr>
      <xdr:spPr bwMode="auto">
        <a:xfrm>
          <a:off x="4829175" y="79533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35</xdr:row>
      <xdr:rowOff>76200</xdr:rowOff>
    </xdr:from>
    <xdr:to>
      <xdr:col>8</xdr:col>
      <xdr:colOff>0</xdr:colOff>
      <xdr:row>39</xdr:row>
      <xdr:rowOff>76200</xdr:rowOff>
    </xdr:to>
    <xdr:sp macro="" textlink="">
      <xdr:nvSpPr>
        <xdr:cNvPr id="30" name="Line 48"/>
        <xdr:cNvSpPr>
          <a:spLocks noChangeShapeType="1"/>
        </xdr:cNvSpPr>
      </xdr:nvSpPr>
      <xdr:spPr bwMode="auto">
        <a:xfrm>
          <a:off x="4067175" y="7153275"/>
          <a:ext cx="76200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0</xdr:colOff>
      <xdr:row>29</xdr:row>
      <xdr:rowOff>152400</xdr:rowOff>
    </xdr:to>
    <xdr:sp macro="" textlink="">
      <xdr:nvSpPr>
        <xdr:cNvPr id="31" name="Line 49"/>
        <xdr:cNvSpPr>
          <a:spLocks noChangeShapeType="1"/>
        </xdr:cNvSpPr>
      </xdr:nvSpPr>
      <xdr:spPr bwMode="auto">
        <a:xfrm>
          <a:off x="8191500" y="5876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29</xdr:row>
      <xdr:rowOff>76200</xdr:rowOff>
    </xdr:from>
    <xdr:to>
      <xdr:col>14</xdr:col>
      <xdr:colOff>0</xdr:colOff>
      <xdr:row>29</xdr:row>
      <xdr:rowOff>76200</xdr:rowOff>
    </xdr:to>
    <xdr:sp macro="" textlink="">
      <xdr:nvSpPr>
        <xdr:cNvPr id="32" name="Line 50"/>
        <xdr:cNvSpPr>
          <a:spLocks noChangeShapeType="1"/>
        </xdr:cNvSpPr>
      </xdr:nvSpPr>
      <xdr:spPr bwMode="auto">
        <a:xfrm>
          <a:off x="6819900" y="595312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29</xdr:row>
      <xdr:rowOff>76200</xdr:rowOff>
    </xdr:from>
    <xdr:to>
      <xdr:col>12</xdr:col>
      <xdr:colOff>0</xdr:colOff>
      <xdr:row>31</xdr:row>
      <xdr:rowOff>76200</xdr:rowOff>
    </xdr:to>
    <xdr:sp macro="" textlink="">
      <xdr:nvSpPr>
        <xdr:cNvPr id="33" name="Line 51"/>
        <xdr:cNvSpPr>
          <a:spLocks noChangeShapeType="1"/>
        </xdr:cNvSpPr>
      </xdr:nvSpPr>
      <xdr:spPr bwMode="auto">
        <a:xfrm flipV="1">
          <a:off x="6334125" y="5953125"/>
          <a:ext cx="4857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0</xdr:colOff>
      <xdr:row>34</xdr:row>
      <xdr:rowOff>152400</xdr:rowOff>
    </xdr:to>
    <xdr:sp macro="" textlink="">
      <xdr:nvSpPr>
        <xdr:cNvPr id="34" name="Line 52"/>
        <xdr:cNvSpPr>
          <a:spLocks noChangeShapeType="1"/>
        </xdr:cNvSpPr>
      </xdr:nvSpPr>
      <xdr:spPr bwMode="auto">
        <a:xfrm>
          <a:off x="8191500" y="687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34</xdr:row>
      <xdr:rowOff>76200</xdr:rowOff>
    </xdr:from>
    <xdr:to>
      <xdr:col>14</xdr:col>
      <xdr:colOff>0</xdr:colOff>
      <xdr:row>34</xdr:row>
      <xdr:rowOff>76200</xdr:rowOff>
    </xdr:to>
    <xdr:sp macro="" textlink="">
      <xdr:nvSpPr>
        <xdr:cNvPr id="35" name="Line 53"/>
        <xdr:cNvSpPr>
          <a:spLocks noChangeShapeType="1"/>
        </xdr:cNvSpPr>
      </xdr:nvSpPr>
      <xdr:spPr bwMode="auto">
        <a:xfrm>
          <a:off x="6819900" y="695325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31</xdr:row>
      <xdr:rowOff>76200</xdr:rowOff>
    </xdr:from>
    <xdr:to>
      <xdr:col>12</xdr:col>
      <xdr:colOff>0</xdr:colOff>
      <xdr:row>34</xdr:row>
      <xdr:rowOff>76200</xdr:rowOff>
    </xdr:to>
    <xdr:sp macro="" textlink="">
      <xdr:nvSpPr>
        <xdr:cNvPr id="36" name="Line 54"/>
        <xdr:cNvSpPr>
          <a:spLocks noChangeShapeType="1"/>
        </xdr:cNvSpPr>
      </xdr:nvSpPr>
      <xdr:spPr bwMode="auto">
        <a:xfrm>
          <a:off x="6334125" y="6353175"/>
          <a:ext cx="48577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152400</xdr:colOff>
      <xdr:row>39</xdr:row>
      <xdr:rowOff>152400</xdr:rowOff>
    </xdr:to>
    <xdr:sp macro="" textlink="">
      <xdr:nvSpPr>
        <xdr:cNvPr id="37" name="Oval 55"/>
        <xdr:cNvSpPr>
          <a:spLocks noChangeArrowheads="1"/>
        </xdr:cNvSpPr>
      </xdr:nvSpPr>
      <xdr:spPr bwMode="auto">
        <a:xfrm>
          <a:off x="1371600" y="7877175"/>
          <a:ext cx="15240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</xdr:row>
      <xdr:rowOff>76200</xdr:rowOff>
    </xdr:from>
    <xdr:to>
      <xdr:col>2</xdr:col>
      <xdr:colOff>0</xdr:colOff>
      <xdr:row>39</xdr:row>
      <xdr:rowOff>76200</xdr:rowOff>
    </xdr:to>
    <xdr:sp macro="" textlink="">
      <xdr:nvSpPr>
        <xdr:cNvPr id="38" name="Line 56"/>
        <xdr:cNvSpPr>
          <a:spLocks noChangeShapeType="1"/>
        </xdr:cNvSpPr>
      </xdr:nvSpPr>
      <xdr:spPr bwMode="auto">
        <a:xfrm>
          <a:off x="685800" y="795337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0</xdr:colOff>
      <xdr:row>46</xdr:row>
      <xdr:rowOff>38100</xdr:rowOff>
    </xdr:to>
    <xdr:sp macro="" textlink="">
      <xdr:nvSpPr>
        <xdr:cNvPr id="39" name="Line 177"/>
        <xdr:cNvSpPr>
          <a:spLocks noChangeShapeType="1"/>
        </xdr:cNvSpPr>
      </xdr:nvSpPr>
      <xdr:spPr bwMode="auto">
        <a:xfrm>
          <a:off x="68580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152400</xdr:rowOff>
    </xdr:to>
    <xdr:sp macro="" textlink="">
      <xdr:nvSpPr>
        <xdr:cNvPr id="2" name="Line 88"/>
        <xdr:cNvSpPr>
          <a:spLocks noChangeShapeType="1"/>
        </xdr:cNvSpPr>
      </xdr:nvSpPr>
      <xdr:spPr bwMode="auto">
        <a:xfrm>
          <a:off x="2838450" y="485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76200</xdr:rowOff>
    </xdr:from>
    <xdr:to>
      <xdr:col>5</xdr:col>
      <xdr:colOff>0</xdr:colOff>
      <xdr:row>3</xdr:row>
      <xdr:rowOff>76200</xdr:rowOff>
    </xdr:to>
    <xdr:sp macro="" textlink="">
      <xdr:nvSpPr>
        <xdr:cNvPr id="3" name="Line 90"/>
        <xdr:cNvSpPr>
          <a:spLocks noChangeShapeType="1"/>
        </xdr:cNvSpPr>
      </xdr:nvSpPr>
      <xdr:spPr bwMode="auto">
        <a:xfrm>
          <a:off x="1619250" y="5619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76200</xdr:rowOff>
    </xdr:from>
    <xdr:to>
      <xdr:col>3</xdr:col>
      <xdr:colOff>0</xdr:colOff>
      <xdr:row>8</xdr:row>
      <xdr:rowOff>76200</xdr:rowOff>
    </xdr:to>
    <xdr:sp macro="" textlink="">
      <xdr:nvSpPr>
        <xdr:cNvPr id="4" name="Line 91"/>
        <xdr:cNvSpPr>
          <a:spLocks noChangeShapeType="1"/>
        </xdr:cNvSpPr>
      </xdr:nvSpPr>
      <xdr:spPr bwMode="auto">
        <a:xfrm flipV="1">
          <a:off x="1371600" y="561975"/>
          <a:ext cx="24765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0</xdr:colOff>
      <xdr:row>13</xdr:row>
      <xdr:rowOff>152400</xdr:rowOff>
    </xdr:to>
    <xdr:sp macro="" textlink="">
      <xdr:nvSpPr>
        <xdr:cNvPr id="5" name="Oval 92"/>
        <xdr:cNvSpPr>
          <a:spLocks noChangeArrowheads="1"/>
        </xdr:cNvSpPr>
      </xdr:nvSpPr>
      <xdr:spPr bwMode="auto">
        <a:xfrm>
          <a:off x="2838450" y="2105025"/>
          <a:ext cx="15240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76200</xdr:rowOff>
    </xdr:from>
    <xdr:to>
      <xdr:col>5</xdr:col>
      <xdr:colOff>0</xdr:colOff>
      <xdr:row>13</xdr:row>
      <xdr:rowOff>76200</xdr:rowOff>
    </xdr:to>
    <xdr:sp macro="" textlink="">
      <xdr:nvSpPr>
        <xdr:cNvPr id="6" name="Line 93"/>
        <xdr:cNvSpPr>
          <a:spLocks noChangeShapeType="1"/>
        </xdr:cNvSpPr>
      </xdr:nvSpPr>
      <xdr:spPr bwMode="auto">
        <a:xfrm>
          <a:off x="1619250" y="21812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76200</xdr:rowOff>
    </xdr:from>
    <xdr:to>
      <xdr:col>3</xdr:col>
      <xdr:colOff>0</xdr:colOff>
      <xdr:row>13</xdr:row>
      <xdr:rowOff>76200</xdr:rowOff>
    </xdr:to>
    <xdr:sp macro="" textlink="">
      <xdr:nvSpPr>
        <xdr:cNvPr id="7" name="Line 94"/>
        <xdr:cNvSpPr>
          <a:spLocks noChangeShapeType="1"/>
        </xdr:cNvSpPr>
      </xdr:nvSpPr>
      <xdr:spPr bwMode="auto">
        <a:xfrm>
          <a:off x="1371600" y="1371600"/>
          <a:ext cx="24765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152400</xdr:rowOff>
    </xdr:to>
    <xdr:sp macro="" textlink="">
      <xdr:nvSpPr>
        <xdr:cNvPr id="8" name="Line 95"/>
        <xdr:cNvSpPr>
          <a:spLocks noChangeShapeType="1"/>
        </xdr:cNvSpPr>
      </xdr:nvSpPr>
      <xdr:spPr bwMode="auto">
        <a:xfrm>
          <a:off x="4457700" y="1295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8</xdr:row>
      <xdr:rowOff>76200</xdr:rowOff>
    </xdr:from>
    <xdr:to>
      <xdr:col>9</xdr:col>
      <xdr:colOff>0</xdr:colOff>
      <xdr:row>8</xdr:row>
      <xdr:rowOff>76200</xdr:rowOff>
    </xdr:to>
    <xdr:sp macro="" textlink="">
      <xdr:nvSpPr>
        <xdr:cNvPr id="9" name="Line 97"/>
        <xdr:cNvSpPr>
          <a:spLocks noChangeShapeType="1"/>
        </xdr:cNvSpPr>
      </xdr:nvSpPr>
      <xdr:spPr bwMode="auto">
        <a:xfrm>
          <a:off x="3238500" y="13716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8</xdr:row>
      <xdr:rowOff>76200</xdr:rowOff>
    </xdr:from>
    <xdr:to>
      <xdr:col>7</xdr:col>
      <xdr:colOff>0</xdr:colOff>
      <xdr:row>13</xdr:row>
      <xdr:rowOff>76200</xdr:rowOff>
    </xdr:to>
    <xdr:sp macro="" textlink="">
      <xdr:nvSpPr>
        <xdr:cNvPr id="10" name="Line 98"/>
        <xdr:cNvSpPr>
          <a:spLocks noChangeShapeType="1"/>
        </xdr:cNvSpPr>
      </xdr:nvSpPr>
      <xdr:spPr bwMode="auto">
        <a:xfrm flipV="1">
          <a:off x="2990850" y="1371600"/>
          <a:ext cx="24765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0</xdr:colOff>
      <xdr:row>18</xdr:row>
      <xdr:rowOff>152400</xdr:rowOff>
    </xdr:to>
    <xdr:sp macro="" textlink="">
      <xdr:nvSpPr>
        <xdr:cNvPr id="11" name="Oval 99"/>
        <xdr:cNvSpPr>
          <a:spLocks noChangeArrowheads="1"/>
        </xdr:cNvSpPr>
      </xdr:nvSpPr>
      <xdr:spPr bwMode="auto">
        <a:xfrm>
          <a:off x="4457700" y="2914650"/>
          <a:ext cx="15240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18</xdr:row>
      <xdr:rowOff>76200</xdr:rowOff>
    </xdr:from>
    <xdr:to>
      <xdr:col>9</xdr:col>
      <xdr:colOff>0</xdr:colOff>
      <xdr:row>18</xdr:row>
      <xdr:rowOff>76200</xdr:rowOff>
    </xdr:to>
    <xdr:sp macro="" textlink="">
      <xdr:nvSpPr>
        <xdr:cNvPr id="12" name="Line 100"/>
        <xdr:cNvSpPr>
          <a:spLocks noChangeShapeType="1"/>
        </xdr:cNvSpPr>
      </xdr:nvSpPr>
      <xdr:spPr bwMode="auto">
        <a:xfrm>
          <a:off x="3238500" y="29908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76200</xdr:rowOff>
    </xdr:from>
    <xdr:to>
      <xdr:col>7</xdr:col>
      <xdr:colOff>0</xdr:colOff>
      <xdr:row>18</xdr:row>
      <xdr:rowOff>76200</xdr:rowOff>
    </xdr:to>
    <xdr:sp macro="" textlink="">
      <xdr:nvSpPr>
        <xdr:cNvPr id="13" name="Line 101"/>
        <xdr:cNvSpPr>
          <a:spLocks noChangeShapeType="1"/>
        </xdr:cNvSpPr>
      </xdr:nvSpPr>
      <xdr:spPr bwMode="auto">
        <a:xfrm>
          <a:off x="2990850" y="2181225"/>
          <a:ext cx="24765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0</xdr:colOff>
      <xdr:row>13</xdr:row>
      <xdr:rowOff>152400</xdr:rowOff>
    </xdr:to>
    <xdr:sp macro="" textlink="">
      <xdr:nvSpPr>
        <xdr:cNvPr id="14" name="Line 102"/>
        <xdr:cNvSpPr>
          <a:spLocks noChangeShapeType="1"/>
        </xdr:cNvSpPr>
      </xdr:nvSpPr>
      <xdr:spPr bwMode="auto">
        <a:xfrm>
          <a:off x="6076950" y="2105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13</xdr:row>
      <xdr:rowOff>76200</xdr:rowOff>
    </xdr:from>
    <xdr:to>
      <xdr:col>13</xdr:col>
      <xdr:colOff>0</xdr:colOff>
      <xdr:row>13</xdr:row>
      <xdr:rowOff>76200</xdr:rowOff>
    </xdr:to>
    <xdr:sp macro="" textlink="">
      <xdr:nvSpPr>
        <xdr:cNvPr id="15" name="Line 104"/>
        <xdr:cNvSpPr>
          <a:spLocks noChangeShapeType="1"/>
        </xdr:cNvSpPr>
      </xdr:nvSpPr>
      <xdr:spPr bwMode="auto">
        <a:xfrm>
          <a:off x="4857750" y="21812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76200</xdr:rowOff>
    </xdr:from>
    <xdr:to>
      <xdr:col>11</xdr:col>
      <xdr:colOff>0</xdr:colOff>
      <xdr:row>18</xdr:row>
      <xdr:rowOff>76200</xdr:rowOff>
    </xdr:to>
    <xdr:sp macro="" textlink="">
      <xdr:nvSpPr>
        <xdr:cNvPr id="16" name="Line 105"/>
        <xdr:cNvSpPr>
          <a:spLocks noChangeShapeType="1"/>
        </xdr:cNvSpPr>
      </xdr:nvSpPr>
      <xdr:spPr bwMode="auto">
        <a:xfrm flipV="1">
          <a:off x="4610100" y="2181225"/>
          <a:ext cx="24765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14</xdr:col>
      <xdr:colOff>0</xdr:colOff>
      <xdr:row>24</xdr:row>
      <xdr:rowOff>152400</xdr:rowOff>
    </xdr:to>
    <xdr:sp macro="" textlink="">
      <xdr:nvSpPr>
        <xdr:cNvPr id="17" name="Oval 106"/>
        <xdr:cNvSpPr>
          <a:spLocks noChangeArrowheads="1"/>
        </xdr:cNvSpPr>
      </xdr:nvSpPr>
      <xdr:spPr bwMode="auto">
        <a:xfrm>
          <a:off x="6076950" y="3886200"/>
          <a:ext cx="15240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76200</xdr:rowOff>
    </xdr:from>
    <xdr:to>
      <xdr:col>13</xdr:col>
      <xdr:colOff>0</xdr:colOff>
      <xdr:row>24</xdr:row>
      <xdr:rowOff>76200</xdr:rowOff>
    </xdr:to>
    <xdr:sp macro="" textlink="">
      <xdr:nvSpPr>
        <xdr:cNvPr id="18" name="Line 107"/>
        <xdr:cNvSpPr>
          <a:spLocks noChangeShapeType="1"/>
        </xdr:cNvSpPr>
      </xdr:nvSpPr>
      <xdr:spPr bwMode="auto">
        <a:xfrm>
          <a:off x="4857750" y="39624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76200</xdr:rowOff>
    </xdr:from>
    <xdr:to>
      <xdr:col>11</xdr:col>
      <xdr:colOff>0</xdr:colOff>
      <xdr:row>24</xdr:row>
      <xdr:rowOff>76200</xdr:rowOff>
    </xdr:to>
    <xdr:sp macro="" textlink="">
      <xdr:nvSpPr>
        <xdr:cNvPr id="19" name="Line 108"/>
        <xdr:cNvSpPr>
          <a:spLocks noChangeShapeType="1"/>
        </xdr:cNvSpPr>
      </xdr:nvSpPr>
      <xdr:spPr bwMode="auto">
        <a:xfrm>
          <a:off x="4610100" y="2990850"/>
          <a:ext cx="2476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17</xdr:col>
      <xdr:colOff>0</xdr:colOff>
      <xdr:row>20</xdr:row>
      <xdr:rowOff>0</xdr:rowOff>
    </xdr:from>
    <xdr:to>
      <xdr:col>18</xdr:col>
      <xdr:colOff>0</xdr:colOff>
      <xdr:row>20</xdr:row>
      <xdr:rowOff>152400</xdr:rowOff>
    </xdr:to>
    <xdr:sp macro="" textlink="">
      <xdr:nvSpPr>
        <xdr:cNvPr id="20" name="Oval 109"/>
        <xdr:cNvSpPr>
          <a:spLocks noChangeArrowheads="1"/>
        </xdr:cNvSpPr>
      </xdr:nvSpPr>
      <xdr:spPr bwMode="auto">
        <a:xfrm>
          <a:off x="7696200" y="3238500"/>
          <a:ext cx="15240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20</xdr:row>
      <xdr:rowOff>76200</xdr:rowOff>
    </xdr:from>
    <xdr:to>
      <xdr:col>17</xdr:col>
      <xdr:colOff>0</xdr:colOff>
      <xdr:row>20</xdr:row>
      <xdr:rowOff>76200</xdr:rowOff>
    </xdr:to>
    <xdr:sp macro="" textlink="">
      <xdr:nvSpPr>
        <xdr:cNvPr id="21" name="Line 110"/>
        <xdr:cNvSpPr>
          <a:spLocks noChangeShapeType="1"/>
        </xdr:cNvSpPr>
      </xdr:nvSpPr>
      <xdr:spPr bwMode="auto">
        <a:xfrm>
          <a:off x="6477000" y="33147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20</xdr:row>
      <xdr:rowOff>76200</xdr:rowOff>
    </xdr:from>
    <xdr:to>
      <xdr:col>15</xdr:col>
      <xdr:colOff>0</xdr:colOff>
      <xdr:row>24</xdr:row>
      <xdr:rowOff>76200</xdr:rowOff>
    </xdr:to>
    <xdr:sp macro="" textlink="">
      <xdr:nvSpPr>
        <xdr:cNvPr id="22" name="Line 111"/>
        <xdr:cNvSpPr>
          <a:spLocks noChangeShapeType="1"/>
        </xdr:cNvSpPr>
      </xdr:nvSpPr>
      <xdr:spPr bwMode="auto">
        <a:xfrm flipV="1">
          <a:off x="6229350" y="3314700"/>
          <a:ext cx="24765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0</xdr:colOff>
      <xdr:row>28</xdr:row>
      <xdr:rowOff>152400</xdr:rowOff>
    </xdr:to>
    <xdr:sp macro="" textlink="">
      <xdr:nvSpPr>
        <xdr:cNvPr id="23" name="Line 112"/>
        <xdr:cNvSpPr>
          <a:spLocks noChangeShapeType="1"/>
        </xdr:cNvSpPr>
      </xdr:nvSpPr>
      <xdr:spPr bwMode="auto">
        <a:xfrm>
          <a:off x="7696200" y="45339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28</xdr:row>
      <xdr:rowOff>76200</xdr:rowOff>
    </xdr:from>
    <xdr:to>
      <xdr:col>17</xdr:col>
      <xdr:colOff>0</xdr:colOff>
      <xdr:row>28</xdr:row>
      <xdr:rowOff>76200</xdr:rowOff>
    </xdr:to>
    <xdr:sp macro="" textlink="">
      <xdr:nvSpPr>
        <xdr:cNvPr id="24" name="Line 114"/>
        <xdr:cNvSpPr>
          <a:spLocks noChangeShapeType="1"/>
        </xdr:cNvSpPr>
      </xdr:nvSpPr>
      <xdr:spPr bwMode="auto">
        <a:xfrm>
          <a:off x="6477000" y="46101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76200</xdr:rowOff>
    </xdr:from>
    <xdr:to>
      <xdr:col>15</xdr:col>
      <xdr:colOff>0</xdr:colOff>
      <xdr:row>28</xdr:row>
      <xdr:rowOff>76200</xdr:rowOff>
    </xdr:to>
    <xdr:sp macro="" textlink="">
      <xdr:nvSpPr>
        <xdr:cNvPr id="25" name="Line 115"/>
        <xdr:cNvSpPr>
          <a:spLocks noChangeShapeType="1"/>
        </xdr:cNvSpPr>
      </xdr:nvSpPr>
      <xdr:spPr bwMode="auto">
        <a:xfrm>
          <a:off x="6229350" y="3962400"/>
          <a:ext cx="24765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21</xdr:col>
      <xdr:colOff>0</xdr:colOff>
      <xdr:row>18</xdr:row>
      <xdr:rowOff>0</xdr:rowOff>
    </xdr:from>
    <xdr:to>
      <xdr:col>21</xdr:col>
      <xdr:colOff>0</xdr:colOff>
      <xdr:row>18</xdr:row>
      <xdr:rowOff>152400</xdr:rowOff>
    </xdr:to>
    <xdr:sp macro="" textlink="">
      <xdr:nvSpPr>
        <xdr:cNvPr id="26" name="Line 116"/>
        <xdr:cNvSpPr>
          <a:spLocks noChangeShapeType="1"/>
        </xdr:cNvSpPr>
      </xdr:nvSpPr>
      <xdr:spPr bwMode="auto">
        <a:xfrm>
          <a:off x="9315450" y="2914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18</xdr:row>
      <xdr:rowOff>76200</xdr:rowOff>
    </xdr:from>
    <xdr:to>
      <xdr:col>21</xdr:col>
      <xdr:colOff>0</xdr:colOff>
      <xdr:row>18</xdr:row>
      <xdr:rowOff>76200</xdr:rowOff>
    </xdr:to>
    <xdr:sp macro="" textlink="">
      <xdr:nvSpPr>
        <xdr:cNvPr id="27" name="Line 117"/>
        <xdr:cNvSpPr>
          <a:spLocks noChangeShapeType="1"/>
        </xdr:cNvSpPr>
      </xdr:nvSpPr>
      <xdr:spPr bwMode="auto">
        <a:xfrm>
          <a:off x="8096250" y="29908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18</xdr:row>
      <xdr:rowOff>76200</xdr:rowOff>
    </xdr:from>
    <xdr:to>
      <xdr:col>19</xdr:col>
      <xdr:colOff>0</xdr:colOff>
      <xdr:row>20</xdr:row>
      <xdr:rowOff>76200</xdr:rowOff>
    </xdr:to>
    <xdr:sp macro="" textlink="">
      <xdr:nvSpPr>
        <xdr:cNvPr id="28" name="Line 118"/>
        <xdr:cNvSpPr>
          <a:spLocks noChangeShapeType="1"/>
        </xdr:cNvSpPr>
      </xdr:nvSpPr>
      <xdr:spPr bwMode="auto">
        <a:xfrm flipV="1">
          <a:off x="7848600" y="2990850"/>
          <a:ext cx="2476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0</xdr:colOff>
      <xdr:row>23</xdr:row>
      <xdr:rowOff>152400</xdr:rowOff>
    </xdr:to>
    <xdr:sp macro="" textlink="">
      <xdr:nvSpPr>
        <xdr:cNvPr id="29" name="Line 119"/>
        <xdr:cNvSpPr>
          <a:spLocks noChangeShapeType="1"/>
        </xdr:cNvSpPr>
      </xdr:nvSpPr>
      <xdr:spPr bwMode="auto">
        <a:xfrm>
          <a:off x="9315450" y="37242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23</xdr:row>
      <xdr:rowOff>76200</xdr:rowOff>
    </xdr:from>
    <xdr:to>
      <xdr:col>21</xdr:col>
      <xdr:colOff>0</xdr:colOff>
      <xdr:row>23</xdr:row>
      <xdr:rowOff>76200</xdr:rowOff>
    </xdr:to>
    <xdr:sp macro="" textlink="">
      <xdr:nvSpPr>
        <xdr:cNvPr id="30" name="Line 120"/>
        <xdr:cNvSpPr>
          <a:spLocks noChangeShapeType="1"/>
        </xdr:cNvSpPr>
      </xdr:nvSpPr>
      <xdr:spPr bwMode="auto">
        <a:xfrm>
          <a:off x="8096250" y="38004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20</xdr:row>
      <xdr:rowOff>76200</xdr:rowOff>
    </xdr:from>
    <xdr:to>
      <xdr:col>19</xdr:col>
      <xdr:colOff>0</xdr:colOff>
      <xdr:row>23</xdr:row>
      <xdr:rowOff>76200</xdr:rowOff>
    </xdr:to>
    <xdr:sp macro="" textlink="">
      <xdr:nvSpPr>
        <xdr:cNvPr id="31" name="Line 121"/>
        <xdr:cNvSpPr>
          <a:spLocks noChangeShapeType="1"/>
        </xdr:cNvSpPr>
      </xdr:nvSpPr>
      <xdr:spPr bwMode="auto">
        <a:xfrm>
          <a:off x="7848600" y="3314700"/>
          <a:ext cx="24765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152400</xdr:rowOff>
    </xdr:to>
    <xdr:sp macro="" textlink="">
      <xdr:nvSpPr>
        <xdr:cNvPr id="32" name="Oval 122"/>
        <xdr:cNvSpPr>
          <a:spLocks noChangeArrowheads="1"/>
        </xdr:cNvSpPr>
      </xdr:nvSpPr>
      <xdr:spPr bwMode="auto">
        <a:xfrm>
          <a:off x="1219200" y="1295400"/>
          <a:ext cx="15240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76200</xdr:rowOff>
    </xdr:from>
    <xdr:to>
      <xdr:col>1</xdr:col>
      <xdr:colOff>0</xdr:colOff>
      <xdr:row>8</xdr:row>
      <xdr:rowOff>76200</xdr:rowOff>
    </xdr:to>
    <xdr:sp macro="" textlink="">
      <xdr:nvSpPr>
        <xdr:cNvPr id="33" name="Line 123"/>
        <xdr:cNvSpPr>
          <a:spLocks noChangeShapeType="1"/>
        </xdr:cNvSpPr>
      </xdr:nvSpPr>
      <xdr:spPr bwMode="auto">
        <a:xfrm>
          <a:off x="609600" y="1371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13</xdr:row>
      <xdr:rowOff>28575</xdr:rowOff>
    </xdr:from>
    <xdr:to>
      <xdr:col>12</xdr:col>
      <xdr:colOff>57150</xdr:colOff>
      <xdr:row>35</xdr:row>
      <xdr:rowOff>114300</xdr:rowOff>
    </xdr:to>
    <xdr:graphicFrame macro="">
      <xdr:nvGraphicFramePr>
        <xdr:cNvPr id="266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40</xdr:row>
      <xdr:rowOff>47625</xdr:rowOff>
    </xdr:to>
    <xdr:graphicFrame macro="">
      <xdr:nvGraphicFramePr>
        <xdr:cNvPr id="22535" name="Tornad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</xdr:row>
      <xdr:rowOff>0</xdr:rowOff>
    </xdr:from>
    <xdr:to>
      <xdr:col>10</xdr:col>
      <xdr:colOff>466725</xdr:colOff>
      <xdr:row>22</xdr:row>
      <xdr:rowOff>76200</xdr:rowOff>
    </xdr:to>
    <xdr:graphicFrame macro="">
      <xdr:nvGraphicFramePr>
        <xdr:cNvPr id="245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6</xdr:col>
      <xdr:colOff>0</xdr:colOff>
      <xdr:row>5</xdr:row>
      <xdr:rowOff>152400</xdr:rowOff>
    </xdr:to>
    <xdr:sp macro="" textlink="">
      <xdr:nvSpPr>
        <xdr:cNvPr id="2" name="Oval 226"/>
        <xdr:cNvSpPr>
          <a:spLocks noChangeArrowheads="1"/>
        </xdr:cNvSpPr>
      </xdr:nvSpPr>
      <xdr:spPr bwMode="auto">
        <a:xfrm>
          <a:off x="2838450" y="3400425"/>
          <a:ext cx="15240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5</xdr:row>
      <xdr:rowOff>76200</xdr:rowOff>
    </xdr:from>
    <xdr:to>
      <xdr:col>5</xdr:col>
      <xdr:colOff>0</xdr:colOff>
      <xdr:row>5</xdr:row>
      <xdr:rowOff>76200</xdr:rowOff>
    </xdr:to>
    <xdr:sp macro="" textlink="">
      <xdr:nvSpPr>
        <xdr:cNvPr id="3" name="Line 227"/>
        <xdr:cNvSpPr>
          <a:spLocks noChangeShapeType="1"/>
        </xdr:cNvSpPr>
      </xdr:nvSpPr>
      <xdr:spPr bwMode="auto">
        <a:xfrm>
          <a:off x="1619250" y="34766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5</xdr:row>
      <xdr:rowOff>76200</xdr:rowOff>
    </xdr:from>
    <xdr:to>
      <xdr:col>3</xdr:col>
      <xdr:colOff>0</xdr:colOff>
      <xdr:row>11</xdr:row>
      <xdr:rowOff>76200</xdr:rowOff>
    </xdr:to>
    <xdr:sp macro="" textlink="">
      <xdr:nvSpPr>
        <xdr:cNvPr id="4" name="Line 228"/>
        <xdr:cNvSpPr>
          <a:spLocks noChangeShapeType="1"/>
        </xdr:cNvSpPr>
      </xdr:nvSpPr>
      <xdr:spPr bwMode="auto">
        <a:xfrm flipV="1">
          <a:off x="1371600" y="3476625"/>
          <a:ext cx="2476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152400</xdr:rowOff>
    </xdr:to>
    <xdr:sp macro="" textlink="">
      <xdr:nvSpPr>
        <xdr:cNvPr id="5" name="Oval 229"/>
        <xdr:cNvSpPr>
          <a:spLocks noChangeArrowheads="1"/>
        </xdr:cNvSpPr>
      </xdr:nvSpPr>
      <xdr:spPr bwMode="auto">
        <a:xfrm>
          <a:off x="2838450" y="5505450"/>
          <a:ext cx="15240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18</xdr:row>
      <xdr:rowOff>76200</xdr:rowOff>
    </xdr:from>
    <xdr:to>
      <xdr:col>5</xdr:col>
      <xdr:colOff>0</xdr:colOff>
      <xdr:row>18</xdr:row>
      <xdr:rowOff>76200</xdr:rowOff>
    </xdr:to>
    <xdr:sp macro="" textlink="">
      <xdr:nvSpPr>
        <xdr:cNvPr id="6" name="Line 230"/>
        <xdr:cNvSpPr>
          <a:spLocks noChangeShapeType="1"/>
        </xdr:cNvSpPr>
      </xdr:nvSpPr>
      <xdr:spPr bwMode="auto">
        <a:xfrm>
          <a:off x="1619250" y="55816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11</xdr:row>
      <xdr:rowOff>76200</xdr:rowOff>
    </xdr:from>
    <xdr:to>
      <xdr:col>3</xdr:col>
      <xdr:colOff>0</xdr:colOff>
      <xdr:row>18</xdr:row>
      <xdr:rowOff>76200</xdr:rowOff>
    </xdr:to>
    <xdr:sp macro="" textlink="">
      <xdr:nvSpPr>
        <xdr:cNvPr id="7" name="Line 231"/>
        <xdr:cNvSpPr>
          <a:spLocks noChangeShapeType="1"/>
        </xdr:cNvSpPr>
      </xdr:nvSpPr>
      <xdr:spPr bwMode="auto">
        <a:xfrm>
          <a:off x="1371600" y="4448175"/>
          <a:ext cx="2476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0</xdr:colOff>
      <xdr:row>13</xdr:row>
      <xdr:rowOff>152400</xdr:rowOff>
    </xdr:to>
    <xdr:sp macro="" textlink="">
      <xdr:nvSpPr>
        <xdr:cNvPr id="8" name="Line 232"/>
        <xdr:cNvSpPr>
          <a:spLocks noChangeShapeType="1"/>
        </xdr:cNvSpPr>
      </xdr:nvSpPr>
      <xdr:spPr bwMode="auto">
        <a:xfrm>
          <a:off x="4457700" y="46958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7</xdr:col>
      <xdr:colOff>0</xdr:colOff>
      <xdr:row>13</xdr:row>
      <xdr:rowOff>76200</xdr:rowOff>
    </xdr:from>
    <xdr:to>
      <xdr:col>9</xdr:col>
      <xdr:colOff>0</xdr:colOff>
      <xdr:row>13</xdr:row>
      <xdr:rowOff>76200</xdr:rowOff>
    </xdr:to>
    <xdr:sp macro="" textlink="">
      <xdr:nvSpPr>
        <xdr:cNvPr id="10" name="Line 234"/>
        <xdr:cNvSpPr>
          <a:spLocks noChangeShapeType="1"/>
        </xdr:cNvSpPr>
      </xdr:nvSpPr>
      <xdr:spPr bwMode="auto">
        <a:xfrm>
          <a:off x="3238500" y="4772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6</xdr:col>
      <xdr:colOff>0</xdr:colOff>
      <xdr:row>13</xdr:row>
      <xdr:rowOff>76200</xdr:rowOff>
    </xdr:from>
    <xdr:to>
      <xdr:col>7</xdr:col>
      <xdr:colOff>0</xdr:colOff>
      <xdr:row>18</xdr:row>
      <xdr:rowOff>76200</xdr:rowOff>
    </xdr:to>
    <xdr:sp macro="" textlink="">
      <xdr:nvSpPr>
        <xdr:cNvPr id="11" name="Line 235"/>
        <xdr:cNvSpPr>
          <a:spLocks noChangeShapeType="1"/>
        </xdr:cNvSpPr>
      </xdr:nvSpPr>
      <xdr:spPr bwMode="auto">
        <a:xfrm flipV="1">
          <a:off x="2990850" y="4772025"/>
          <a:ext cx="24765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10</xdr:col>
      <xdr:colOff>0</xdr:colOff>
      <xdr:row>24</xdr:row>
      <xdr:rowOff>152400</xdr:rowOff>
    </xdr:to>
    <xdr:sp macro="" textlink="">
      <xdr:nvSpPr>
        <xdr:cNvPr id="12" name="Oval 236"/>
        <xdr:cNvSpPr>
          <a:spLocks noChangeArrowheads="1"/>
        </xdr:cNvSpPr>
      </xdr:nvSpPr>
      <xdr:spPr bwMode="auto">
        <a:xfrm>
          <a:off x="4457700" y="6477000"/>
          <a:ext cx="15240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7</xdr:col>
      <xdr:colOff>0</xdr:colOff>
      <xdr:row>24</xdr:row>
      <xdr:rowOff>76200</xdr:rowOff>
    </xdr:from>
    <xdr:to>
      <xdr:col>9</xdr:col>
      <xdr:colOff>0</xdr:colOff>
      <xdr:row>24</xdr:row>
      <xdr:rowOff>76200</xdr:rowOff>
    </xdr:to>
    <xdr:sp macro="" textlink="">
      <xdr:nvSpPr>
        <xdr:cNvPr id="13" name="Line 237"/>
        <xdr:cNvSpPr>
          <a:spLocks noChangeShapeType="1"/>
        </xdr:cNvSpPr>
      </xdr:nvSpPr>
      <xdr:spPr bwMode="auto">
        <a:xfrm>
          <a:off x="3238500" y="65532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6</xdr:col>
      <xdr:colOff>0</xdr:colOff>
      <xdr:row>18</xdr:row>
      <xdr:rowOff>76200</xdr:rowOff>
    </xdr:from>
    <xdr:to>
      <xdr:col>7</xdr:col>
      <xdr:colOff>0</xdr:colOff>
      <xdr:row>24</xdr:row>
      <xdr:rowOff>76200</xdr:rowOff>
    </xdr:to>
    <xdr:sp macro="" textlink="">
      <xdr:nvSpPr>
        <xdr:cNvPr id="14" name="Line 238"/>
        <xdr:cNvSpPr>
          <a:spLocks noChangeShapeType="1"/>
        </xdr:cNvSpPr>
      </xdr:nvSpPr>
      <xdr:spPr bwMode="auto">
        <a:xfrm>
          <a:off x="2990850" y="5581650"/>
          <a:ext cx="2476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14</xdr:col>
      <xdr:colOff>0</xdr:colOff>
      <xdr:row>20</xdr:row>
      <xdr:rowOff>152400</xdr:rowOff>
    </xdr:to>
    <xdr:sp macro="" textlink="">
      <xdr:nvSpPr>
        <xdr:cNvPr id="15" name="Oval 239"/>
        <xdr:cNvSpPr>
          <a:spLocks noChangeArrowheads="1"/>
        </xdr:cNvSpPr>
      </xdr:nvSpPr>
      <xdr:spPr bwMode="auto">
        <a:xfrm>
          <a:off x="6076950" y="5829300"/>
          <a:ext cx="15240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20</xdr:row>
      <xdr:rowOff>76200</xdr:rowOff>
    </xdr:from>
    <xdr:to>
      <xdr:col>13</xdr:col>
      <xdr:colOff>0</xdr:colOff>
      <xdr:row>20</xdr:row>
      <xdr:rowOff>76200</xdr:rowOff>
    </xdr:to>
    <xdr:sp macro="" textlink="">
      <xdr:nvSpPr>
        <xdr:cNvPr id="16" name="Line 240"/>
        <xdr:cNvSpPr>
          <a:spLocks noChangeShapeType="1"/>
        </xdr:cNvSpPr>
      </xdr:nvSpPr>
      <xdr:spPr bwMode="auto">
        <a:xfrm>
          <a:off x="4857750" y="59055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0</xdr:colOff>
      <xdr:row>20</xdr:row>
      <xdr:rowOff>76200</xdr:rowOff>
    </xdr:from>
    <xdr:to>
      <xdr:col>11</xdr:col>
      <xdr:colOff>0</xdr:colOff>
      <xdr:row>24</xdr:row>
      <xdr:rowOff>76200</xdr:rowOff>
    </xdr:to>
    <xdr:sp macro="" textlink="">
      <xdr:nvSpPr>
        <xdr:cNvPr id="17" name="Line 241"/>
        <xdr:cNvSpPr>
          <a:spLocks noChangeShapeType="1"/>
        </xdr:cNvSpPr>
      </xdr:nvSpPr>
      <xdr:spPr bwMode="auto">
        <a:xfrm flipV="1">
          <a:off x="4610100" y="5905500"/>
          <a:ext cx="24765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152400</xdr:rowOff>
    </xdr:to>
    <xdr:sp macro="" textlink="">
      <xdr:nvSpPr>
        <xdr:cNvPr id="18" name="Line 242"/>
        <xdr:cNvSpPr>
          <a:spLocks noChangeShapeType="1"/>
        </xdr:cNvSpPr>
      </xdr:nvSpPr>
      <xdr:spPr bwMode="auto">
        <a:xfrm>
          <a:off x="4457700" y="3076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7</xdr:col>
      <xdr:colOff>0</xdr:colOff>
      <xdr:row>3</xdr:row>
      <xdr:rowOff>76200</xdr:rowOff>
    </xdr:from>
    <xdr:to>
      <xdr:col>9</xdr:col>
      <xdr:colOff>0</xdr:colOff>
      <xdr:row>3</xdr:row>
      <xdr:rowOff>76200</xdr:rowOff>
    </xdr:to>
    <xdr:sp macro="" textlink="">
      <xdr:nvSpPr>
        <xdr:cNvPr id="20" name="Line 244"/>
        <xdr:cNvSpPr>
          <a:spLocks noChangeShapeType="1"/>
        </xdr:cNvSpPr>
      </xdr:nvSpPr>
      <xdr:spPr bwMode="auto">
        <a:xfrm>
          <a:off x="3238500" y="31527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6</xdr:col>
      <xdr:colOff>0</xdr:colOff>
      <xdr:row>3</xdr:row>
      <xdr:rowOff>76200</xdr:rowOff>
    </xdr:from>
    <xdr:to>
      <xdr:col>7</xdr:col>
      <xdr:colOff>0</xdr:colOff>
      <xdr:row>5</xdr:row>
      <xdr:rowOff>76200</xdr:rowOff>
    </xdr:to>
    <xdr:sp macro="" textlink="">
      <xdr:nvSpPr>
        <xdr:cNvPr id="21" name="Line 245"/>
        <xdr:cNvSpPr>
          <a:spLocks noChangeShapeType="1"/>
        </xdr:cNvSpPr>
      </xdr:nvSpPr>
      <xdr:spPr bwMode="auto">
        <a:xfrm flipV="1">
          <a:off x="2990850" y="3152775"/>
          <a:ext cx="2476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152400</xdr:rowOff>
    </xdr:to>
    <xdr:sp macro="" textlink="">
      <xdr:nvSpPr>
        <xdr:cNvPr id="22" name="Line 246"/>
        <xdr:cNvSpPr>
          <a:spLocks noChangeShapeType="1"/>
        </xdr:cNvSpPr>
      </xdr:nvSpPr>
      <xdr:spPr bwMode="auto">
        <a:xfrm>
          <a:off x="4457700" y="3886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7</xdr:col>
      <xdr:colOff>0</xdr:colOff>
      <xdr:row>8</xdr:row>
      <xdr:rowOff>76200</xdr:rowOff>
    </xdr:from>
    <xdr:to>
      <xdr:col>9</xdr:col>
      <xdr:colOff>0</xdr:colOff>
      <xdr:row>8</xdr:row>
      <xdr:rowOff>76200</xdr:rowOff>
    </xdr:to>
    <xdr:sp macro="" textlink="">
      <xdr:nvSpPr>
        <xdr:cNvPr id="24" name="Line 248"/>
        <xdr:cNvSpPr>
          <a:spLocks noChangeShapeType="1"/>
        </xdr:cNvSpPr>
      </xdr:nvSpPr>
      <xdr:spPr bwMode="auto">
        <a:xfrm>
          <a:off x="3238500" y="39624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6</xdr:col>
      <xdr:colOff>0</xdr:colOff>
      <xdr:row>5</xdr:row>
      <xdr:rowOff>76200</xdr:rowOff>
    </xdr:from>
    <xdr:to>
      <xdr:col>7</xdr:col>
      <xdr:colOff>0</xdr:colOff>
      <xdr:row>8</xdr:row>
      <xdr:rowOff>76200</xdr:rowOff>
    </xdr:to>
    <xdr:sp macro="" textlink="">
      <xdr:nvSpPr>
        <xdr:cNvPr id="25" name="Line 249"/>
        <xdr:cNvSpPr>
          <a:spLocks noChangeShapeType="1"/>
        </xdr:cNvSpPr>
      </xdr:nvSpPr>
      <xdr:spPr bwMode="auto">
        <a:xfrm>
          <a:off x="2990850" y="3476625"/>
          <a:ext cx="24765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0</xdr:colOff>
      <xdr:row>28</xdr:row>
      <xdr:rowOff>152400</xdr:rowOff>
    </xdr:to>
    <xdr:sp macro="" textlink="">
      <xdr:nvSpPr>
        <xdr:cNvPr id="26" name="Line 250"/>
        <xdr:cNvSpPr>
          <a:spLocks noChangeShapeType="1"/>
        </xdr:cNvSpPr>
      </xdr:nvSpPr>
      <xdr:spPr bwMode="auto">
        <a:xfrm>
          <a:off x="6076950" y="71247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28</xdr:row>
      <xdr:rowOff>76200</xdr:rowOff>
    </xdr:from>
    <xdr:to>
      <xdr:col>13</xdr:col>
      <xdr:colOff>0</xdr:colOff>
      <xdr:row>28</xdr:row>
      <xdr:rowOff>76200</xdr:rowOff>
    </xdr:to>
    <xdr:sp macro="" textlink="">
      <xdr:nvSpPr>
        <xdr:cNvPr id="28" name="Line 252"/>
        <xdr:cNvSpPr>
          <a:spLocks noChangeShapeType="1"/>
        </xdr:cNvSpPr>
      </xdr:nvSpPr>
      <xdr:spPr bwMode="auto">
        <a:xfrm>
          <a:off x="4857750" y="72009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0</xdr:colOff>
      <xdr:row>24</xdr:row>
      <xdr:rowOff>76200</xdr:rowOff>
    </xdr:from>
    <xdr:to>
      <xdr:col>11</xdr:col>
      <xdr:colOff>0</xdr:colOff>
      <xdr:row>28</xdr:row>
      <xdr:rowOff>76200</xdr:rowOff>
    </xdr:to>
    <xdr:sp macro="" textlink="">
      <xdr:nvSpPr>
        <xdr:cNvPr id="29" name="Line 253"/>
        <xdr:cNvSpPr>
          <a:spLocks noChangeShapeType="1"/>
        </xdr:cNvSpPr>
      </xdr:nvSpPr>
      <xdr:spPr bwMode="auto">
        <a:xfrm>
          <a:off x="4610100" y="6553200"/>
          <a:ext cx="24765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152400</xdr:rowOff>
    </xdr:to>
    <xdr:sp macro="" textlink="">
      <xdr:nvSpPr>
        <xdr:cNvPr id="30" name="Line 254"/>
        <xdr:cNvSpPr>
          <a:spLocks noChangeShapeType="1"/>
        </xdr:cNvSpPr>
      </xdr:nvSpPr>
      <xdr:spPr bwMode="auto">
        <a:xfrm>
          <a:off x="7696200" y="5505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0</xdr:colOff>
      <xdr:row>18</xdr:row>
      <xdr:rowOff>76200</xdr:rowOff>
    </xdr:from>
    <xdr:to>
      <xdr:col>17</xdr:col>
      <xdr:colOff>0</xdr:colOff>
      <xdr:row>18</xdr:row>
      <xdr:rowOff>76200</xdr:rowOff>
    </xdr:to>
    <xdr:sp macro="" textlink="">
      <xdr:nvSpPr>
        <xdr:cNvPr id="31" name="Line 255"/>
        <xdr:cNvSpPr>
          <a:spLocks noChangeShapeType="1"/>
        </xdr:cNvSpPr>
      </xdr:nvSpPr>
      <xdr:spPr bwMode="auto">
        <a:xfrm>
          <a:off x="6477000" y="55816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0</xdr:colOff>
      <xdr:row>18</xdr:row>
      <xdr:rowOff>76200</xdr:rowOff>
    </xdr:from>
    <xdr:to>
      <xdr:col>15</xdr:col>
      <xdr:colOff>0</xdr:colOff>
      <xdr:row>20</xdr:row>
      <xdr:rowOff>76200</xdr:rowOff>
    </xdr:to>
    <xdr:sp macro="" textlink="">
      <xdr:nvSpPr>
        <xdr:cNvPr id="32" name="Line 256"/>
        <xdr:cNvSpPr>
          <a:spLocks noChangeShapeType="1"/>
        </xdr:cNvSpPr>
      </xdr:nvSpPr>
      <xdr:spPr bwMode="auto">
        <a:xfrm flipV="1">
          <a:off x="6229350" y="5581650"/>
          <a:ext cx="2476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152400</xdr:rowOff>
    </xdr:to>
    <xdr:sp macro="" textlink="">
      <xdr:nvSpPr>
        <xdr:cNvPr id="33" name="Line 257"/>
        <xdr:cNvSpPr>
          <a:spLocks noChangeShapeType="1"/>
        </xdr:cNvSpPr>
      </xdr:nvSpPr>
      <xdr:spPr bwMode="auto">
        <a:xfrm>
          <a:off x="7696200" y="6315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0</xdr:colOff>
      <xdr:row>23</xdr:row>
      <xdr:rowOff>76200</xdr:rowOff>
    </xdr:from>
    <xdr:to>
      <xdr:col>17</xdr:col>
      <xdr:colOff>0</xdr:colOff>
      <xdr:row>23</xdr:row>
      <xdr:rowOff>76200</xdr:rowOff>
    </xdr:to>
    <xdr:sp macro="" textlink="">
      <xdr:nvSpPr>
        <xdr:cNvPr id="34" name="Line 258"/>
        <xdr:cNvSpPr>
          <a:spLocks noChangeShapeType="1"/>
        </xdr:cNvSpPr>
      </xdr:nvSpPr>
      <xdr:spPr bwMode="auto">
        <a:xfrm>
          <a:off x="6477000" y="63912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0</xdr:colOff>
      <xdr:row>20</xdr:row>
      <xdr:rowOff>76200</xdr:rowOff>
    </xdr:from>
    <xdr:to>
      <xdr:col>15</xdr:col>
      <xdr:colOff>0</xdr:colOff>
      <xdr:row>23</xdr:row>
      <xdr:rowOff>76200</xdr:rowOff>
    </xdr:to>
    <xdr:sp macro="" textlink="">
      <xdr:nvSpPr>
        <xdr:cNvPr id="35" name="Line 259"/>
        <xdr:cNvSpPr>
          <a:spLocks noChangeShapeType="1"/>
        </xdr:cNvSpPr>
      </xdr:nvSpPr>
      <xdr:spPr bwMode="auto">
        <a:xfrm>
          <a:off x="6229350" y="5905500"/>
          <a:ext cx="24765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152400</xdr:rowOff>
    </xdr:to>
    <xdr:sp macro="" textlink="">
      <xdr:nvSpPr>
        <xdr:cNvPr id="36" name="Oval 260"/>
        <xdr:cNvSpPr>
          <a:spLocks noChangeArrowheads="1"/>
        </xdr:cNvSpPr>
      </xdr:nvSpPr>
      <xdr:spPr bwMode="auto">
        <a:xfrm>
          <a:off x="1219200" y="4371975"/>
          <a:ext cx="15240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0</xdr:col>
      <xdr:colOff>0</xdr:colOff>
      <xdr:row>11</xdr:row>
      <xdr:rowOff>76200</xdr:rowOff>
    </xdr:from>
    <xdr:to>
      <xdr:col>1</xdr:col>
      <xdr:colOff>0</xdr:colOff>
      <xdr:row>11</xdr:row>
      <xdr:rowOff>76200</xdr:rowOff>
    </xdr:to>
    <xdr:sp macro="" textlink="">
      <xdr:nvSpPr>
        <xdr:cNvPr id="37" name="Line 261"/>
        <xdr:cNvSpPr>
          <a:spLocks noChangeShapeType="1"/>
        </xdr:cNvSpPr>
      </xdr:nvSpPr>
      <xdr:spPr bwMode="auto">
        <a:xfrm>
          <a:off x="609600" y="44481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38100</xdr:colOff>
      <xdr:row>39</xdr:row>
      <xdr:rowOff>0</xdr:rowOff>
    </xdr:to>
    <xdr:graphicFrame macro="">
      <xdr:nvGraphicFramePr>
        <xdr:cNvPr id="25607" name="Tornad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011"/>
  <sheetViews>
    <sheetView tabSelected="1" zoomScale="70" zoomScaleNormal="70" workbookViewId="0">
      <selection sqref="A1:P52"/>
    </sheetView>
  </sheetViews>
  <sheetFormatPr defaultRowHeight="15.75"/>
  <cols>
    <col min="1" max="2" width="9.140625" style="33"/>
    <col min="3" max="3" width="7.140625" style="33" customWidth="1"/>
    <col min="4" max="4" width="4.140625" style="33" customWidth="1"/>
    <col min="5" max="5" width="13.85546875" style="33" customWidth="1"/>
    <col min="6" max="6" width="13" style="33" customWidth="1"/>
    <col min="7" max="7" width="9.5703125" style="33" customWidth="1"/>
    <col min="8" max="8" width="4.140625" style="33" customWidth="1"/>
    <col min="9" max="10" width="9.140625" style="33"/>
    <col min="11" max="11" width="2" style="33" customWidth="1"/>
    <col min="12" max="12" width="7.28515625" style="33" customWidth="1"/>
    <col min="13" max="16384" width="9.140625" style="33"/>
  </cols>
  <sheetData>
    <row r="1" spans="1:16" ht="18.75">
      <c r="A1" s="31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5" t="s">
        <v>81</v>
      </c>
      <c r="M2" s="34"/>
      <c r="N2" s="34"/>
      <c r="O2" s="34"/>
      <c r="P2" s="34"/>
    </row>
    <row r="3" spans="1:16">
      <c r="A3" s="34"/>
      <c r="B3" s="36"/>
      <c r="C3" s="34"/>
      <c r="D3" s="34"/>
      <c r="E3" s="34"/>
      <c r="F3" s="34"/>
      <c r="G3" s="34"/>
      <c r="H3" s="34"/>
      <c r="I3" s="34">
        <v>0.2</v>
      </c>
      <c r="J3" s="34"/>
      <c r="K3" s="34"/>
      <c r="L3" s="34"/>
      <c r="M3" s="34"/>
      <c r="N3" s="34"/>
      <c r="O3" s="34"/>
      <c r="P3" s="34"/>
    </row>
    <row r="4" spans="1:16">
      <c r="A4" s="34"/>
      <c r="B4" s="34"/>
      <c r="C4" s="34"/>
      <c r="D4" s="34"/>
      <c r="E4" s="34"/>
      <c r="F4" s="34"/>
      <c r="G4" s="34"/>
      <c r="H4" s="34"/>
      <c r="I4" s="34" t="s">
        <v>82</v>
      </c>
      <c r="J4" s="34"/>
      <c r="K4" s="34"/>
      <c r="L4" s="34"/>
      <c r="M4" s="34"/>
      <c r="N4" s="34"/>
      <c r="O4" s="34"/>
      <c r="P4" s="34"/>
    </row>
    <row r="5" spans="1:16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>
        <v>1000</v>
      </c>
      <c r="M5" s="34"/>
      <c r="N5" s="34"/>
      <c r="O5" s="34"/>
      <c r="P5" s="34"/>
    </row>
    <row r="6" spans="1:16">
      <c r="A6" s="34"/>
      <c r="B6" s="34"/>
      <c r="C6" s="34"/>
      <c r="D6" s="34"/>
      <c r="E6" s="34"/>
      <c r="F6" s="34"/>
      <c r="G6" s="34"/>
      <c r="H6" s="34"/>
      <c r="I6" s="34"/>
      <c r="J6" s="34">
        <f>L5</f>
        <v>1000</v>
      </c>
      <c r="K6" s="34"/>
      <c r="L6" s="34"/>
      <c r="M6" s="34"/>
      <c r="N6" s="34"/>
      <c r="O6" s="34"/>
      <c r="P6" s="34"/>
    </row>
    <row r="7" spans="1:16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>
      <c r="A8" s="34"/>
      <c r="B8" s="34"/>
      <c r="C8" s="34"/>
      <c r="D8" s="34"/>
      <c r="E8" s="34">
        <v>0.4</v>
      </c>
      <c r="F8" s="35" t="s">
        <v>83</v>
      </c>
      <c r="G8" s="34"/>
      <c r="H8" s="34"/>
      <c r="I8" s="34">
        <v>0.3</v>
      </c>
      <c r="J8" s="34"/>
      <c r="K8" s="34"/>
      <c r="L8" s="34"/>
      <c r="M8" s="34"/>
      <c r="N8" s="34"/>
      <c r="O8" s="34"/>
      <c r="P8" s="34"/>
    </row>
    <row r="9" spans="1:16">
      <c r="A9" s="34"/>
      <c r="B9" s="34"/>
      <c r="C9" s="34"/>
      <c r="D9" s="34"/>
      <c r="E9" s="34" t="s">
        <v>84</v>
      </c>
      <c r="F9" s="35" t="s">
        <v>85</v>
      </c>
      <c r="G9" s="34"/>
      <c r="H9" s="34"/>
      <c r="I9" s="34" t="s">
        <v>86</v>
      </c>
      <c r="J9" s="34"/>
      <c r="K9" s="34"/>
      <c r="L9" s="34"/>
      <c r="M9" s="34"/>
      <c r="N9" s="34"/>
      <c r="O9" s="34"/>
      <c r="P9" s="34"/>
    </row>
    <row r="10" spans="1:16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>
        <v>500</v>
      </c>
      <c r="M10" s="34"/>
      <c r="N10" s="34"/>
      <c r="O10" s="34"/>
      <c r="P10" s="34"/>
    </row>
    <row r="11" spans="1:16">
      <c r="A11" s="34"/>
      <c r="B11" s="34"/>
      <c r="C11" s="34"/>
      <c r="D11" s="34"/>
      <c r="E11" s="34"/>
      <c r="F11" s="34">
        <f>IF(ABS(1-SUM(I3,I8,I13))&lt;=0.00001,SUM(I3*J6,I8*J11,I13*J16),NA())</f>
        <v>450</v>
      </c>
      <c r="G11" s="34"/>
      <c r="H11" s="34"/>
      <c r="I11" s="34"/>
      <c r="J11" s="34">
        <f>L10</f>
        <v>500</v>
      </c>
      <c r="K11" s="34"/>
      <c r="L11" s="34"/>
      <c r="M11" s="34"/>
      <c r="N11" s="34"/>
      <c r="O11" s="34"/>
      <c r="P11" s="34"/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>
      <c r="A13" s="34"/>
      <c r="B13" s="37" t="s">
        <v>87</v>
      </c>
      <c r="C13" s="34"/>
      <c r="D13" s="34"/>
      <c r="E13" s="34"/>
      <c r="F13" s="34"/>
      <c r="G13" s="34"/>
      <c r="H13" s="34"/>
      <c r="I13" s="34">
        <v>0.5</v>
      </c>
      <c r="J13" s="34"/>
      <c r="K13" s="34"/>
      <c r="L13" s="34"/>
      <c r="M13" s="34"/>
      <c r="N13" s="34"/>
      <c r="O13" s="34"/>
      <c r="P13" s="34"/>
    </row>
    <row r="14" spans="1:16">
      <c r="A14" s="34"/>
      <c r="B14" s="35" t="s">
        <v>85</v>
      </c>
      <c r="C14" s="34"/>
      <c r="D14" s="34"/>
      <c r="E14" s="34"/>
      <c r="F14" s="34"/>
      <c r="G14" s="34"/>
      <c r="H14" s="34"/>
      <c r="I14" s="34" t="s">
        <v>88</v>
      </c>
      <c r="J14" s="34"/>
      <c r="K14" s="34"/>
      <c r="L14" s="34"/>
      <c r="M14" s="34"/>
      <c r="N14" s="34"/>
      <c r="O14" s="34"/>
      <c r="P14" s="34"/>
    </row>
    <row r="15" spans="1:16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>
        <v>200</v>
      </c>
      <c r="M15" s="34"/>
      <c r="N15" s="34"/>
      <c r="O15" s="34"/>
      <c r="P15" s="34"/>
    </row>
    <row r="16" spans="1:16">
      <c r="A16" s="34"/>
      <c r="B16" s="34">
        <f>IF(ABS(1-SUM(E8,E18))&lt;=0.00001,SUM(E8*F11,E18*F21),NA())</f>
        <v>180</v>
      </c>
      <c r="C16" s="34"/>
      <c r="D16" s="34"/>
      <c r="E16" s="34"/>
      <c r="F16" s="34"/>
      <c r="G16" s="34"/>
      <c r="H16" s="34"/>
      <c r="I16" s="34"/>
      <c r="J16" s="34">
        <f>L15</f>
        <v>200</v>
      </c>
      <c r="K16" s="34"/>
      <c r="L16" s="34"/>
      <c r="M16" s="34"/>
      <c r="N16" s="34"/>
      <c r="O16" s="34"/>
      <c r="P16" s="34"/>
    </row>
    <row r="17" spans="1:16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>
      <c r="A18" s="34"/>
      <c r="B18" s="34"/>
      <c r="C18" s="34"/>
      <c r="D18" s="34"/>
      <c r="E18" s="34">
        <v>0.6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>
      <c r="A19" s="34"/>
      <c r="B19" s="34"/>
      <c r="C19" s="34"/>
      <c r="D19" s="34"/>
      <c r="E19" s="34" t="s">
        <v>89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>
        <f>SUM(E21)</f>
        <v>0</v>
      </c>
      <c r="M20" s="34"/>
      <c r="N20" s="34"/>
      <c r="O20" s="34"/>
      <c r="P20" s="34"/>
    </row>
    <row r="21" spans="1:16">
      <c r="A21" s="34"/>
      <c r="B21" s="34"/>
      <c r="C21" s="34"/>
      <c r="D21" s="34"/>
      <c r="E21" s="34"/>
      <c r="F21" s="34">
        <f>L20</f>
        <v>0</v>
      </c>
      <c r="G21" s="34"/>
      <c r="H21" s="34"/>
      <c r="I21" s="34"/>
      <c r="J21" s="34"/>
      <c r="K21" s="34"/>
      <c r="L21" s="35"/>
      <c r="M21" s="34"/>
      <c r="N21" s="34"/>
      <c r="O21" s="34"/>
      <c r="P21" s="34"/>
    </row>
    <row r="22" spans="1:16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>
      <c r="A23" s="34"/>
      <c r="B23" s="62" t="s">
        <v>90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34"/>
      <c r="N23" s="34"/>
      <c r="O23" s="34"/>
      <c r="P23" s="34"/>
    </row>
    <row r="24" spans="1:16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8.75">
      <c r="A25" s="31" t="s">
        <v>91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 t="s">
        <v>92</v>
      </c>
    </row>
    <row r="28" spans="1:16">
      <c r="A28" s="34"/>
      <c r="B28" s="36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>
        <v>0.9</v>
      </c>
      <c r="N28" s="34"/>
      <c r="O28" s="34"/>
      <c r="P28" s="34"/>
    </row>
    <row r="29" spans="1:16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 t="s">
        <v>93</v>
      </c>
      <c r="N29" s="34"/>
      <c r="O29" s="34"/>
      <c r="P29" s="34"/>
    </row>
    <row r="30" spans="1:16">
      <c r="A30" s="34"/>
      <c r="B30" s="34"/>
      <c r="C30" s="34"/>
      <c r="D30" s="34"/>
      <c r="E30" s="34"/>
      <c r="F30" s="34"/>
      <c r="G30" s="34"/>
      <c r="H30" s="34"/>
      <c r="I30" s="34">
        <v>0.6</v>
      </c>
      <c r="J30" s="35" t="s">
        <v>94</v>
      </c>
      <c r="K30" s="34"/>
      <c r="L30" s="34"/>
      <c r="M30" s="34"/>
      <c r="N30" s="34"/>
      <c r="O30" s="34"/>
      <c r="P30" s="34">
        <v>45</v>
      </c>
    </row>
    <row r="31" spans="1:16">
      <c r="A31" s="34"/>
      <c r="B31" s="34"/>
      <c r="C31" s="34"/>
      <c r="D31" s="34"/>
      <c r="E31" s="34"/>
      <c r="F31" s="34"/>
      <c r="G31" s="34"/>
      <c r="H31" s="34"/>
      <c r="I31" s="34" t="s">
        <v>93</v>
      </c>
      <c r="J31" s="35" t="s">
        <v>95</v>
      </c>
      <c r="K31" s="34"/>
      <c r="L31" s="34"/>
      <c r="M31" s="34"/>
      <c r="N31" s="34">
        <f>P30</f>
        <v>45</v>
      </c>
      <c r="O31" s="34"/>
      <c r="P31" s="34"/>
    </row>
    <row r="32" spans="1:16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>
      <c r="A33" s="34"/>
      <c r="B33" s="34"/>
      <c r="C33" s="34"/>
      <c r="D33" s="34"/>
      <c r="E33" s="34"/>
      <c r="F33" s="34"/>
      <c r="G33" s="34"/>
      <c r="H33" s="34"/>
      <c r="I33" s="34"/>
      <c r="J33" s="34">
        <f>IF(ABS(1-SUM(M28,M33))&lt;=0.00001,SUM(M28*N31,M33*N36),NA())</f>
        <v>45</v>
      </c>
      <c r="K33" s="34"/>
      <c r="L33" s="34"/>
      <c r="M33" s="34">
        <v>0.1</v>
      </c>
      <c r="N33" s="34"/>
      <c r="O33" s="34"/>
      <c r="P33" s="34"/>
    </row>
    <row r="34" spans="1:16">
      <c r="A34" s="34"/>
      <c r="B34" s="34"/>
      <c r="C34" s="34"/>
      <c r="D34" s="34"/>
      <c r="E34" s="34">
        <v>0.3</v>
      </c>
      <c r="F34" s="34"/>
      <c r="G34" s="34"/>
      <c r="H34" s="34"/>
      <c r="I34" s="34"/>
      <c r="J34" s="34"/>
      <c r="K34" s="34"/>
      <c r="L34" s="34"/>
      <c r="M34" s="34" t="s">
        <v>96</v>
      </c>
      <c r="N34" s="34"/>
      <c r="O34" s="34"/>
      <c r="P34" s="34"/>
    </row>
    <row r="35" spans="1:16">
      <c r="A35" s="34"/>
      <c r="B35" s="34"/>
      <c r="C35" s="34"/>
      <c r="D35" s="34"/>
      <c r="E35" s="34" t="s">
        <v>93</v>
      </c>
      <c r="F35" s="35" t="s">
        <v>97</v>
      </c>
      <c r="G35" s="34"/>
      <c r="H35" s="34"/>
      <c r="I35" s="34"/>
      <c r="J35" s="34"/>
      <c r="K35" s="34"/>
      <c r="L35" s="34"/>
      <c r="M35" s="34"/>
      <c r="N35" s="34"/>
      <c r="O35" s="34"/>
      <c r="P35" s="34">
        <v>45</v>
      </c>
    </row>
    <row r="36" spans="1:16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>
        <f>P35</f>
        <v>45</v>
      </c>
      <c r="O36" s="34"/>
      <c r="P36" s="34"/>
    </row>
    <row r="37" spans="1:16">
      <c r="A37" s="34"/>
      <c r="B37" s="34"/>
      <c r="C37" s="34"/>
      <c r="D37" s="34"/>
      <c r="E37" s="34"/>
      <c r="F37" s="34">
        <f>IF(ABS(1-SUM(I30,I38))&lt;=0.00001,SUM(I30*J33,I38*J41),NA())</f>
        <v>43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>
      <c r="A38" s="34"/>
      <c r="B38" s="34"/>
      <c r="C38" s="34"/>
      <c r="D38" s="34"/>
      <c r="E38" s="34"/>
      <c r="F38" s="34"/>
      <c r="G38" s="34"/>
      <c r="H38" s="34"/>
      <c r="I38" s="34">
        <v>0.4</v>
      </c>
      <c r="J38" s="34"/>
      <c r="K38" s="34"/>
      <c r="L38" s="34"/>
      <c r="M38" s="34"/>
      <c r="N38" s="34"/>
      <c r="O38" s="34"/>
      <c r="P38" s="34"/>
    </row>
    <row r="39" spans="1:16">
      <c r="A39" s="34"/>
      <c r="B39" s="38" t="s">
        <v>98</v>
      </c>
      <c r="C39" s="34"/>
      <c r="D39" s="34"/>
      <c r="E39" s="34"/>
      <c r="F39" s="34"/>
      <c r="G39" s="34"/>
      <c r="H39" s="34"/>
      <c r="I39" s="34" t="s">
        <v>96</v>
      </c>
      <c r="J39" s="34"/>
      <c r="K39" s="34"/>
      <c r="L39" s="34"/>
      <c r="M39" s="34"/>
      <c r="N39" s="34"/>
      <c r="O39" s="34"/>
      <c r="P39" s="34"/>
    </row>
    <row r="40" spans="1:16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>
        <v>40</v>
      </c>
    </row>
    <row r="41" spans="1:16">
      <c r="A41" s="34"/>
      <c r="B41" s="34">
        <f>IF(ABS(1-SUM(E34,E43))&lt;=0.00001,SUM(E34*F37,E43*F46),NA())</f>
        <v>19.899999999999999</v>
      </c>
      <c r="C41" s="34"/>
      <c r="D41" s="34"/>
      <c r="E41" s="34"/>
      <c r="F41" s="34"/>
      <c r="G41" s="34"/>
      <c r="H41" s="34"/>
      <c r="I41" s="34"/>
      <c r="J41" s="34">
        <f>P40</f>
        <v>40</v>
      </c>
      <c r="K41" s="34"/>
      <c r="L41" s="34"/>
      <c r="M41" s="34"/>
      <c r="N41" s="34"/>
      <c r="O41" s="34"/>
      <c r="P41" s="34"/>
    </row>
    <row r="42" spans="1:16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>
      <c r="A43" s="34"/>
      <c r="B43" s="34"/>
      <c r="C43" s="34"/>
      <c r="D43" s="34"/>
      <c r="E43" s="34">
        <v>0.7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>
      <c r="A44" s="34"/>
      <c r="B44" s="34"/>
      <c r="C44" s="34"/>
      <c r="D44" s="34"/>
      <c r="E44" s="34" t="s">
        <v>96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>
        <v>10</v>
      </c>
    </row>
    <row r="46" spans="1:16">
      <c r="A46" s="34"/>
      <c r="B46" s="34"/>
      <c r="C46" s="34"/>
      <c r="D46" s="34"/>
      <c r="E46" s="34"/>
      <c r="F46" s="34">
        <f>P45</f>
        <v>10</v>
      </c>
      <c r="G46" s="34"/>
      <c r="H46" s="34"/>
      <c r="I46" s="34"/>
      <c r="J46" s="34"/>
      <c r="K46" s="34"/>
      <c r="L46" s="34"/>
      <c r="M46" s="34"/>
      <c r="N46" s="34"/>
      <c r="O46" s="34"/>
      <c r="P46" s="35"/>
    </row>
    <row r="47" spans="1:16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>
      <c r="A48" s="34"/>
      <c r="B48" s="39" t="s">
        <v>99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>
      <c r="A49" s="34"/>
      <c r="B49" s="3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8.75">
      <c r="A50" s="31" t="s">
        <v>100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>
      <c r="A51" s="34"/>
      <c r="B51" s="34"/>
      <c r="C51" s="34"/>
      <c r="D51" s="34"/>
      <c r="E51" s="39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>
      <c r="A52" s="34"/>
      <c r="B52" s="39" t="s">
        <v>101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1005" spans="191:205">
      <c r="GI1005" s="33" t="s">
        <v>102</v>
      </c>
      <c r="GJ1005" s="33" t="s">
        <v>103</v>
      </c>
      <c r="GK1005" s="33" t="s">
        <v>104</v>
      </c>
      <c r="GL1005" s="33" t="s">
        <v>60</v>
      </c>
      <c r="GM1005" s="33" t="s">
        <v>105</v>
      </c>
      <c r="GN1005" s="33" t="s">
        <v>106</v>
      </c>
      <c r="GO1005" s="33" t="s">
        <v>107</v>
      </c>
      <c r="GP1005" s="33" t="s">
        <v>108</v>
      </c>
      <c r="GQ1005" s="33" t="s">
        <v>109</v>
      </c>
      <c r="GR1005" s="33" t="s">
        <v>110</v>
      </c>
      <c r="GS1005" s="33" t="s">
        <v>111</v>
      </c>
      <c r="GT1005" s="33" t="s">
        <v>112</v>
      </c>
      <c r="GU1005" s="33" t="s">
        <v>113</v>
      </c>
      <c r="GV1005" s="33" t="s">
        <v>114</v>
      </c>
      <c r="GW1005" s="33" t="s">
        <v>115</v>
      </c>
    </row>
    <row r="1006" spans="191:205">
      <c r="GI1006" s="33">
        <v>0</v>
      </c>
      <c r="GJ1006" s="33" t="s">
        <v>116</v>
      </c>
      <c r="GK1006" s="33">
        <v>0</v>
      </c>
      <c r="GL1006" s="33">
        <v>0</v>
      </c>
      <c r="GM1006" s="33">
        <v>0</v>
      </c>
      <c r="GN1006" s="33" t="s">
        <v>117</v>
      </c>
      <c r="GO1006" s="33">
        <v>2</v>
      </c>
      <c r="GP1006" s="33">
        <v>1</v>
      </c>
      <c r="GQ1006" s="33">
        <v>2</v>
      </c>
      <c r="GR1006" s="33">
        <v>0</v>
      </c>
      <c r="GS1006" s="33">
        <v>0</v>
      </c>
      <c r="GT1006" s="33">
        <v>0</v>
      </c>
      <c r="GU1006" s="33">
        <v>12</v>
      </c>
      <c r="GV1006" s="33">
        <v>1</v>
      </c>
      <c r="GW1006" s="33" t="b">
        <v>1</v>
      </c>
    </row>
    <row r="1007" spans="191:205">
      <c r="GI1007" s="33">
        <v>1</v>
      </c>
      <c r="GM1007" s="33">
        <v>0</v>
      </c>
      <c r="GN1007" s="33" t="s">
        <v>117</v>
      </c>
      <c r="GO1007" s="33">
        <v>3</v>
      </c>
      <c r="GP1007" s="33">
        <v>3</v>
      </c>
      <c r="GQ1007" s="33">
        <v>4</v>
      </c>
      <c r="GR1007" s="33">
        <v>5</v>
      </c>
      <c r="GS1007" s="33">
        <v>0</v>
      </c>
      <c r="GT1007" s="33">
        <v>0</v>
      </c>
      <c r="GU1007" s="33">
        <v>7</v>
      </c>
      <c r="GV1007" s="33">
        <v>5</v>
      </c>
      <c r="GW1007" s="33" t="b">
        <v>1</v>
      </c>
    </row>
    <row r="1008" spans="191:205">
      <c r="GI1008" s="33">
        <v>2</v>
      </c>
      <c r="GM1008" s="33">
        <v>0</v>
      </c>
      <c r="GN1008" s="33" t="s">
        <v>118</v>
      </c>
      <c r="GO1008" s="33">
        <v>0</v>
      </c>
      <c r="GP1008" s="33">
        <v>0</v>
      </c>
      <c r="GQ1008" s="33">
        <v>0</v>
      </c>
      <c r="GR1008" s="33">
        <v>0</v>
      </c>
      <c r="GS1008" s="33">
        <v>0</v>
      </c>
      <c r="GT1008" s="33">
        <v>0</v>
      </c>
      <c r="GU1008" s="33">
        <v>17</v>
      </c>
      <c r="GV1008" s="33">
        <v>5</v>
      </c>
      <c r="GW1008" s="33" t="b">
        <v>1</v>
      </c>
    </row>
    <row r="1009" spans="191:205">
      <c r="GI1009" s="33">
        <v>3</v>
      </c>
      <c r="GM1009" s="33">
        <v>1</v>
      </c>
      <c r="GN1009" s="33" t="s">
        <v>118</v>
      </c>
      <c r="GO1009" s="33">
        <v>0</v>
      </c>
      <c r="GP1009" s="33">
        <v>0</v>
      </c>
      <c r="GQ1009" s="33">
        <v>0</v>
      </c>
      <c r="GR1009" s="33">
        <v>0</v>
      </c>
      <c r="GS1009" s="33">
        <v>0</v>
      </c>
      <c r="GT1009" s="33">
        <v>0</v>
      </c>
      <c r="GU1009" s="33">
        <v>2</v>
      </c>
      <c r="GV1009" s="33">
        <v>9</v>
      </c>
      <c r="GW1009" s="33" t="b">
        <v>1</v>
      </c>
    </row>
    <row r="1010" spans="191:205">
      <c r="GI1010" s="33">
        <v>4</v>
      </c>
      <c r="GM1010" s="33">
        <v>1</v>
      </c>
      <c r="GN1010" s="33" t="s">
        <v>118</v>
      </c>
      <c r="GO1010" s="33">
        <v>0</v>
      </c>
      <c r="GP1010" s="33">
        <v>0</v>
      </c>
      <c r="GQ1010" s="33">
        <v>0</v>
      </c>
      <c r="GR1010" s="33">
        <v>0</v>
      </c>
      <c r="GS1010" s="33">
        <v>0</v>
      </c>
      <c r="GT1010" s="33">
        <v>0</v>
      </c>
      <c r="GU1010" s="33">
        <v>7</v>
      </c>
      <c r="GV1010" s="33">
        <v>9</v>
      </c>
      <c r="GW1010" s="33" t="b">
        <v>1</v>
      </c>
    </row>
    <row r="1011" spans="191:205">
      <c r="GI1011" s="33">
        <v>5</v>
      </c>
      <c r="GM1011" s="33">
        <v>1</v>
      </c>
      <c r="GN1011" s="33" t="s">
        <v>118</v>
      </c>
      <c r="GO1011" s="33">
        <v>0</v>
      </c>
      <c r="GP1011" s="33">
        <v>0</v>
      </c>
      <c r="GQ1011" s="33">
        <v>0</v>
      </c>
      <c r="GR1011" s="33">
        <v>0</v>
      </c>
      <c r="GS1011" s="33">
        <v>0</v>
      </c>
      <c r="GT1011" s="33">
        <v>0</v>
      </c>
      <c r="GU1011" s="33">
        <v>12</v>
      </c>
      <c r="GV1011" s="33">
        <v>9</v>
      </c>
      <c r="GW1011" s="33" t="b">
        <v>1</v>
      </c>
    </row>
  </sheetData>
  <sheetProtection selectLockedCells="1" selectUnlockedCells="1"/>
  <mergeCells count="1">
    <mergeCell ref="B23:L23"/>
  </mergeCells>
  <pageMargins left="0.75" right="0.75" top="1" bottom="1" header="0.5" footer="0.5"/>
  <pageSetup orientation="portrait" r:id="rId1"/>
  <headerFooter alignWithMargins="0">
    <oddHeader>&amp;l&amp;bTreePlan Tryout For Evaluation&amp;r&amp;bTreePlan Tryout For Evaluation</oddHeader>
    <oddFooter>&amp;l&amp;bTreePlan Tryout For Evaluation&amp;r&amp;bTreePlan Tryout For Evaluation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U995"/>
  <sheetViews>
    <sheetView showGridLines="0" zoomScale="75" workbookViewId="0">
      <selection sqref="A1:S32"/>
    </sheetView>
  </sheetViews>
  <sheetFormatPr defaultRowHeight="12.75"/>
  <cols>
    <col min="1" max="1" width="9.140625" style="40"/>
    <col min="2" max="2" width="2.28515625" style="40" customWidth="1"/>
    <col min="3" max="3" width="3.7109375" style="40" customWidth="1"/>
    <col min="4" max="5" width="9.140625" style="40"/>
    <col min="6" max="6" width="2.28515625" style="40" customWidth="1"/>
    <col min="7" max="7" width="3.7109375" style="40" customWidth="1"/>
    <col min="8" max="9" width="9.140625" style="40"/>
    <col min="10" max="10" width="2.28515625" style="40" customWidth="1"/>
    <col min="11" max="11" width="3.7109375" style="40" customWidth="1"/>
    <col min="12" max="13" width="9.140625" style="40"/>
    <col min="14" max="14" width="2.28515625" style="40" customWidth="1"/>
    <col min="15" max="15" width="3.7109375" style="40" customWidth="1"/>
    <col min="16" max="17" width="9.140625" style="40"/>
    <col min="18" max="18" width="2.28515625" style="40" customWidth="1"/>
    <col min="19" max="21" width="9.140625" style="40"/>
    <col min="22" max="22" width="2.28515625" style="40" customWidth="1"/>
    <col min="23" max="16384" width="9.140625" style="40"/>
  </cols>
  <sheetData>
    <row r="2" spans="1:19">
      <c r="H2" s="40">
        <v>0.9</v>
      </c>
      <c r="S2" s="61" t="s">
        <v>129</v>
      </c>
    </row>
    <row r="3" spans="1:19">
      <c r="H3" s="40" t="s">
        <v>120</v>
      </c>
    </row>
    <row r="4" spans="1:19">
      <c r="D4" s="40">
        <v>0.6</v>
      </c>
      <c r="S4" s="40">
        <f>SUM(H5,D7)</f>
        <v>0</v>
      </c>
    </row>
    <row r="5" spans="1:19">
      <c r="D5" s="40" t="s">
        <v>130</v>
      </c>
      <c r="I5" s="40">
        <f>S4</f>
        <v>0</v>
      </c>
    </row>
    <row r="7" spans="1:19">
      <c r="E7" s="40">
        <f>IF(ABS(1-SUM(H2,H7))&lt;=0.00001,SUM(H2*I5,H7*I10),NA())</f>
        <v>0.1</v>
      </c>
      <c r="H7" s="40">
        <v>0.1</v>
      </c>
    </row>
    <row r="8" spans="1:19">
      <c r="H8" s="40" t="s">
        <v>124</v>
      </c>
    </row>
    <row r="9" spans="1:19">
      <c r="S9" s="40">
        <v>1</v>
      </c>
    </row>
    <row r="10" spans="1:19">
      <c r="I10" s="40">
        <f>S9</f>
        <v>1</v>
      </c>
    </row>
    <row r="11" spans="1:19">
      <c r="A11" s="41"/>
    </row>
    <row r="12" spans="1:19">
      <c r="H12" s="40">
        <v>0.1</v>
      </c>
    </row>
    <row r="13" spans="1:19">
      <c r="A13" s="40">
        <f>IF(ABS(1-SUM(D4,D17))&lt;=0.00001,SUM(D4*E7,D17*E20),NA())</f>
        <v>0.32100000000000006</v>
      </c>
      <c r="H13" s="40" t="s">
        <v>120</v>
      </c>
    </row>
    <row r="14" spans="1:19">
      <c r="S14" s="40">
        <f>SUM(H15,D20)</f>
        <v>0</v>
      </c>
    </row>
    <row r="15" spans="1:19">
      <c r="I15" s="40">
        <f>S14</f>
        <v>0</v>
      </c>
    </row>
    <row r="17" spans="4:20">
      <c r="D17" s="40">
        <v>0.4</v>
      </c>
      <c r="P17" s="40">
        <v>0.5</v>
      </c>
    </row>
    <row r="18" spans="4:20">
      <c r="D18" s="40" t="s">
        <v>131</v>
      </c>
      <c r="P18" s="40" t="s">
        <v>121</v>
      </c>
    </row>
    <row r="19" spans="4:20">
      <c r="L19" s="40">
        <v>0.9</v>
      </c>
      <c r="S19" s="40">
        <v>1</v>
      </c>
    </row>
    <row r="20" spans="4:20">
      <c r="E20" s="40">
        <f>IF(ABS(1-SUM(H12,H23))&lt;=0.00001,SUM(H12*I15,H23*I26),NA())</f>
        <v>0.65250000000000008</v>
      </c>
      <c r="L20" s="40" t="s">
        <v>122</v>
      </c>
      <c r="Q20" s="40">
        <f>S19</f>
        <v>1</v>
      </c>
    </row>
    <row r="22" spans="4:20">
      <c r="M22" s="40">
        <f>IF(ABS(1-SUM(P17,P22))&lt;=0.00001,SUM(P17*Q20,P22*Q25),NA())</f>
        <v>0.75</v>
      </c>
      <c r="P22" s="40">
        <v>0.5</v>
      </c>
    </row>
    <row r="23" spans="4:20">
      <c r="H23" s="40">
        <v>0.9</v>
      </c>
      <c r="P23" s="40" t="s">
        <v>123</v>
      </c>
    </row>
    <row r="24" spans="4:20">
      <c r="H24" s="40" t="s">
        <v>124</v>
      </c>
      <c r="S24" s="40">
        <v>0.5</v>
      </c>
    </row>
    <row r="25" spans="4:20">
      <c r="Q25" s="40">
        <f>S24</f>
        <v>0.5</v>
      </c>
    </row>
    <row r="26" spans="4:20">
      <c r="I26" s="40">
        <f>IF(ABS(1-SUM(L19,L27))&lt;=0.00001,SUM(L19*M22,L27*M30),NA())</f>
        <v>0.72500000000000009</v>
      </c>
    </row>
    <row r="27" spans="4:20">
      <c r="L27" s="40">
        <v>0.1</v>
      </c>
    </row>
    <row r="28" spans="4:20">
      <c r="L28" s="40" t="s">
        <v>125</v>
      </c>
    </row>
    <row r="29" spans="4:20">
      <c r="S29" s="40">
        <v>0.5</v>
      </c>
    </row>
    <row r="30" spans="4:20">
      <c r="M30" s="40">
        <f>S29</f>
        <v>0.5</v>
      </c>
    </row>
    <row r="32" spans="4:20">
      <c r="D32" s="42" t="s">
        <v>132</v>
      </c>
      <c r="E32" s="42"/>
      <c r="F32" s="42"/>
      <c r="G32" s="42"/>
      <c r="H32" s="42" t="s">
        <v>133</v>
      </c>
      <c r="I32" s="42"/>
      <c r="J32" s="42"/>
      <c r="K32" s="42"/>
      <c r="L32" s="42" t="s">
        <v>134</v>
      </c>
      <c r="M32" s="42"/>
      <c r="N32" s="42"/>
      <c r="O32" s="42"/>
      <c r="P32" s="42" t="s">
        <v>128</v>
      </c>
      <c r="Q32" s="42"/>
      <c r="R32" s="42"/>
      <c r="S32" s="42"/>
      <c r="T32" s="42"/>
    </row>
    <row r="984" spans="189:203">
      <c r="GG984" s="40" t="s">
        <v>102</v>
      </c>
      <c r="GH984" s="40" t="s">
        <v>103</v>
      </c>
      <c r="GI984" s="40" t="s">
        <v>104</v>
      </c>
      <c r="GJ984" s="40" t="s">
        <v>60</v>
      </c>
      <c r="GK984" s="40" t="s">
        <v>105</v>
      </c>
      <c r="GL984" s="40" t="s">
        <v>106</v>
      </c>
      <c r="GM984" s="40" t="s">
        <v>107</v>
      </c>
      <c r="GN984" s="40" t="s">
        <v>108</v>
      </c>
      <c r="GO984" s="40" t="s">
        <v>109</v>
      </c>
      <c r="GP984" s="40" t="s">
        <v>110</v>
      </c>
      <c r="GQ984" s="40" t="s">
        <v>111</v>
      </c>
      <c r="GR984" s="40" t="s">
        <v>112</v>
      </c>
      <c r="GS984" s="40" t="s">
        <v>113</v>
      </c>
      <c r="GT984" s="40" t="s">
        <v>114</v>
      </c>
      <c r="GU984" s="40" t="s">
        <v>115</v>
      </c>
    </row>
    <row r="985" spans="189:203">
      <c r="GG985" s="40">
        <v>0</v>
      </c>
      <c r="GH985" s="40" t="s">
        <v>116</v>
      </c>
      <c r="GI985" s="40">
        <v>0</v>
      </c>
      <c r="GJ985" s="40">
        <v>0</v>
      </c>
      <c r="GK985" s="40">
        <v>0</v>
      </c>
      <c r="GL985" s="40" t="s">
        <v>117</v>
      </c>
      <c r="GM985" s="40">
        <v>2</v>
      </c>
      <c r="GN985" s="40">
        <v>1</v>
      </c>
      <c r="GO985" s="40">
        <v>2</v>
      </c>
      <c r="GP985" s="40">
        <v>0</v>
      </c>
      <c r="GQ985" s="40">
        <v>0</v>
      </c>
      <c r="GR985" s="40">
        <v>0</v>
      </c>
      <c r="GS985" s="40">
        <v>10</v>
      </c>
      <c r="GT985" s="40">
        <v>1</v>
      </c>
      <c r="GU985" s="40" t="b">
        <v>1</v>
      </c>
    </row>
    <row r="986" spans="189:203">
      <c r="GG986" s="40">
        <v>1</v>
      </c>
      <c r="GK986" s="40">
        <v>0</v>
      </c>
      <c r="GL986" s="40" t="s">
        <v>117</v>
      </c>
      <c r="GM986" s="40">
        <v>2</v>
      </c>
      <c r="GN986" s="40">
        <v>6</v>
      </c>
      <c r="GO986" s="40">
        <v>7</v>
      </c>
      <c r="GP986" s="40">
        <v>0</v>
      </c>
      <c r="GQ986" s="40">
        <v>0</v>
      </c>
      <c r="GR986" s="40">
        <v>0</v>
      </c>
      <c r="GS986" s="40">
        <v>4</v>
      </c>
      <c r="GT986" s="40">
        <v>5</v>
      </c>
      <c r="GU986" s="40" t="b">
        <v>1</v>
      </c>
    </row>
    <row r="987" spans="189:203">
      <c r="GG987" s="40">
        <v>2</v>
      </c>
      <c r="GK987" s="40">
        <v>0</v>
      </c>
      <c r="GL987" s="40" t="s">
        <v>117</v>
      </c>
      <c r="GM987" s="40">
        <v>2</v>
      </c>
      <c r="GN987" s="40">
        <v>3</v>
      </c>
      <c r="GO987" s="40">
        <v>4</v>
      </c>
      <c r="GP987" s="40">
        <v>0</v>
      </c>
      <c r="GQ987" s="40">
        <v>0</v>
      </c>
      <c r="GR987" s="40">
        <v>0</v>
      </c>
      <c r="GS987" s="40">
        <v>17</v>
      </c>
      <c r="GT987" s="40">
        <v>5</v>
      </c>
      <c r="GU987" s="40" t="b">
        <v>1</v>
      </c>
    </row>
    <row r="988" spans="189:203">
      <c r="GG988" s="40">
        <v>3</v>
      </c>
      <c r="GK988" s="40">
        <v>2</v>
      </c>
      <c r="GL988" s="40" t="s">
        <v>118</v>
      </c>
      <c r="GM988" s="40">
        <v>0</v>
      </c>
      <c r="GN988" s="40">
        <v>0</v>
      </c>
      <c r="GO988" s="40">
        <v>0</v>
      </c>
      <c r="GP988" s="40">
        <v>0</v>
      </c>
      <c r="GQ988" s="40">
        <v>0</v>
      </c>
      <c r="GR988" s="40">
        <v>0</v>
      </c>
      <c r="GS988" s="40">
        <v>12</v>
      </c>
      <c r="GT988" s="40">
        <v>9</v>
      </c>
      <c r="GU988" s="40" t="b">
        <v>1</v>
      </c>
    </row>
    <row r="989" spans="189:203">
      <c r="GG989" s="40">
        <v>4</v>
      </c>
      <c r="GK989" s="40">
        <v>2</v>
      </c>
      <c r="GL989" s="40" t="s">
        <v>117</v>
      </c>
      <c r="GM989" s="40">
        <v>2</v>
      </c>
      <c r="GN989" s="40">
        <v>5</v>
      </c>
      <c r="GO989" s="40">
        <v>8</v>
      </c>
      <c r="GP989" s="40">
        <v>0</v>
      </c>
      <c r="GQ989" s="40">
        <v>0</v>
      </c>
      <c r="GR989" s="40">
        <v>0</v>
      </c>
      <c r="GS989" s="40">
        <v>23</v>
      </c>
      <c r="GT989" s="40">
        <v>9</v>
      </c>
      <c r="GU989" s="40" t="b">
        <v>1</v>
      </c>
    </row>
    <row r="990" spans="189:203">
      <c r="GG990" s="40">
        <v>5</v>
      </c>
      <c r="GK990" s="40">
        <v>4</v>
      </c>
      <c r="GL990" s="40" t="s">
        <v>117</v>
      </c>
      <c r="GM990" s="40">
        <v>2</v>
      </c>
      <c r="GN990" s="40">
        <v>9</v>
      </c>
      <c r="GO990" s="40">
        <v>10</v>
      </c>
      <c r="GP990" s="40">
        <v>0</v>
      </c>
      <c r="GQ990" s="40">
        <v>0</v>
      </c>
      <c r="GR990" s="40">
        <v>0</v>
      </c>
      <c r="GS990" s="40">
        <v>19</v>
      </c>
      <c r="GT990" s="40">
        <v>13</v>
      </c>
      <c r="GU990" s="40" t="b">
        <v>1</v>
      </c>
    </row>
    <row r="991" spans="189:203">
      <c r="GG991" s="40">
        <v>6</v>
      </c>
      <c r="GK991" s="40">
        <v>1</v>
      </c>
      <c r="GL991" s="40" t="s">
        <v>118</v>
      </c>
      <c r="GM991" s="40">
        <v>0</v>
      </c>
      <c r="GN991" s="40">
        <v>0</v>
      </c>
      <c r="GO991" s="40">
        <v>0</v>
      </c>
      <c r="GP991" s="40">
        <v>0</v>
      </c>
      <c r="GQ991" s="40">
        <v>0</v>
      </c>
      <c r="GR991" s="40">
        <v>0</v>
      </c>
      <c r="GS991" s="40">
        <v>2</v>
      </c>
      <c r="GT991" s="40">
        <v>9</v>
      </c>
      <c r="GU991" s="40" t="b">
        <v>1</v>
      </c>
    </row>
    <row r="992" spans="189:203">
      <c r="GG992" s="40">
        <v>7</v>
      </c>
      <c r="GK992" s="40">
        <v>1</v>
      </c>
      <c r="GL992" s="40" t="s">
        <v>118</v>
      </c>
      <c r="GM992" s="40">
        <v>0</v>
      </c>
      <c r="GN992" s="40">
        <v>0</v>
      </c>
      <c r="GO992" s="40">
        <v>0</v>
      </c>
      <c r="GP992" s="40">
        <v>0</v>
      </c>
      <c r="GQ992" s="40">
        <v>0</v>
      </c>
      <c r="GR992" s="40">
        <v>0</v>
      </c>
      <c r="GS992" s="40">
        <v>7</v>
      </c>
      <c r="GT992" s="40">
        <v>9</v>
      </c>
      <c r="GU992" s="40" t="b">
        <v>1</v>
      </c>
    </row>
    <row r="993" spans="189:203">
      <c r="GG993" s="40">
        <v>8</v>
      </c>
      <c r="GK993" s="40">
        <v>4</v>
      </c>
      <c r="GL993" s="40" t="s">
        <v>118</v>
      </c>
      <c r="GM993" s="40">
        <v>0</v>
      </c>
      <c r="GN993" s="40">
        <v>0</v>
      </c>
      <c r="GO993" s="40">
        <v>0</v>
      </c>
      <c r="GP993" s="40">
        <v>0</v>
      </c>
      <c r="GQ993" s="40">
        <v>0</v>
      </c>
      <c r="GR993" s="40">
        <v>0</v>
      </c>
      <c r="GS993" s="40">
        <v>27</v>
      </c>
      <c r="GT993" s="40">
        <v>13</v>
      </c>
      <c r="GU993" s="40" t="b">
        <v>1</v>
      </c>
    </row>
    <row r="994" spans="189:203">
      <c r="GG994" s="40">
        <v>9</v>
      </c>
      <c r="GK994" s="40">
        <v>5</v>
      </c>
      <c r="GL994" s="40" t="s">
        <v>118</v>
      </c>
      <c r="GM994" s="40">
        <v>0</v>
      </c>
      <c r="GN994" s="40">
        <v>0</v>
      </c>
      <c r="GO994" s="40">
        <v>0</v>
      </c>
      <c r="GP994" s="40">
        <v>0</v>
      </c>
      <c r="GQ994" s="40">
        <v>0</v>
      </c>
      <c r="GR994" s="40">
        <v>0</v>
      </c>
      <c r="GS994" s="40">
        <v>17</v>
      </c>
      <c r="GT994" s="40">
        <v>17</v>
      </c>
      <c r="GU994" s="40" t="b">
        <v>1</v>
      </c>
    </row>
    <row r="995" spans="189:203">
      <c r="GG995" s="40">
        <v>10</v>
      </c>
      <c r="GK995" s="40">
        <v>5</v>
      </c>
      <c r="GL995" s="40" t="s">
        <v>118</v>
      </c>
      <c r="GM995" s="40">
        <v>0</v>
      </c>
      <c r="GN995" s="40">
        <v>0</v>
      </c>
      <c r="GO995" s="40">
        <v>0</v>
      </c>
      <c r="GP995" s="40">
        <v>0</v>
      </c>
      <c r="GQ995" s="40">
        <v>0</v>
      </c>
      <c r="GR995" s="40">
        <v>0</v>
      </c>
      <c r="GS995" s="40">
        <v>22</v>
      </c>
      <c r="GT995" s="40">
        <v>17</v>
      </c>
      <c r="GU995" s="40" t="b">
        <v>1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N1:V7"/>
  <sheetViews>
    <sheetView zoomScale="90" zoomScaleNormal="90" workbookViewId="0">
      <selection activeCell="O3" sqref="O3"/>
    </sheetView>
  </sheetViews>
  <sheetFormatPr defaultRowHeight="12.75"/>
  <cols>
    <col min="14" max="14" width="12.7109375" bestFit="1" customWidth="1"/>
    <col min="15" max="16" width="7.85546875" bestFit="1" customWidth="1"/>
    <col min="17" max="17" width="6.28515625" bestFit="1" customWidth="1"/>
    <col min="18" max="18" width="16.140625" bestFit="1" customWidth="1"/>
    <col min="19" max="19" width="17.7109375" bestFit="1" customWidth="1"/>
    <col min="20" max="20" width="11.7109375" bestFit="1" customWidth="1"/>
    <col min="21" max="22" width="7.5703125" bestFit="1" customWidth="1"/>
  </cols>
  <sheetData>
    <row r="1" spans="14:22">
      <c r="N1" s="21" t="s">
        <v>35</v>
      </c>
      <c r="O1" s="21"/>
      <c r="P1" s="21"/>
      <c r="Q1" s="21"/>
      <c r="R1" s="21"/>
      <c r="S1" s="21" t="s">
        <v>41</v>
      </c>
      <c r="T1" s="21"/>
      <c r="U1" s="21"/>
      <c r="V1" s="21"/>
    </row>
    <row r="2" spans="14:22">
      <c r="N2" s="22" t="s">
        <v>36</v>
      </c>
      <c r="O2" s="22" t="s">
        <v>57</v>
      </c>
      <c r="P2" s="22" t="s">
        <v>58</v>
      </c>
      <c r="Q2" s="22" t="s">
        <v>39</v>
      </c>
      <c r="R2" s="22" t="s">
        <v>40</v>
      </c>
      <c r="S2" s="22" t="s">
        <v>42</v>
      </c>
      <c r="T2" s="22" t="s">
        <v>43</v>
      </c>
      <c r="U2" s="22" t="s">
        <v>44</v>
      </c>
      <c r="V2" s="22" t="s">
        <v>45</v>
      </c>
    </row>
    <row r="3" spans="14:22">
      <c r="N3" s="20" t="s">
        <v>8</v>
      </c>
      <c r="O3" s="20">
        <v>10.334677709304611</v>
      </c>
      <c r="P3" s="20">
        <v>9.0602852032040566</v>
      </c>
      <c r="Q3" s="20">
        <v>1.2743925061005541</v>
      </c>
      <c r="R3" s="20">
        <v>9.6777346335974475</v>
      </c>
      <c r="S3" s="20">
        <v>2005</v>
      </c>
      <c r="T3" s="20">
        <v>1090</v>
      </c>
      <c r="U3" s="20">
        <v>2004</v>
      </c>
      <c r="V3" s="20">
        <v>2006</v>
      </c>
    </row>
    <row r="4" spans="14:22">
      <c r="N4" s="20" t="s">
        <v>7</v>
      </c>
      <c r="O4" s="20">
        <v>9.0602852032040566</v>
      </c>
      <c r="P4" s="20">
        <v>10.213306994437891</v>
      </c>
      <c r="Q4" s="20">
        <v>1.1530217912338347</v>
      </c>
      <c r="R4" s="20">
        <v>9.6777346335974475</v>
      </c>
      <c r="S4" s="20">
        <v>2002</v>
      </c>
      <c r="T4" s="20">
        <v>1090</v>
      </c>
      <c r="U4" s="20">
        <v>2001</v>
      </c>
      <c r="V4" s="20">
        <v>2003</v>
      </c>
    </row>
    <row r="5" spans="14:22">
      <c r="N5" s="20" t="s">
        <v>9</v>
      </c>
      <c r="O5" s="20">
        <v>9.4362190026579196</v>
      </c>
      <c r="P5" s="20">
        <v>9.9035168153505442</v>
      </c>
      <c r="Q5" s="20">
        <v>0.4672978126926246</v>
      </c>
      <c r="R5" s="20">
        <v>9.6777346335974475</v>
      </c>
      <c r="S5" s="20">
        <v>2012</v>
      </c>
      <c r="T5" s="20">
        <v>1090</v>
      </c>
      <c r="U5" s="20">
        <v>2011</v>
      </c>
      <c r="V5" s="20">
        <v>2013</v>
      </c>
    </row>
    <row r="6" spans="14:22">
      <c r="N6" s="20" t="s">
        <v>10</v>
      </c>
      <c r="O6" s="20">
        <v>9.490977154569018</v>
      </c>
      <c r="P6" s="20">
        <v>9.8537366772495503</v>
      </c>
      <c r="Q6" s="20">
        <v>0.36275952268053224</v>
      </c>
      <c r="R6" s="20">
        <v>9.6777346335974475</v>
      </c>
      <c r="S6" s="20">
        <v>2020</v>
      </c>
      <c r="T6" s="20">
        <v>1090</v>
      </c>
      <c r="U6" s="20">
        <v>2019</v>
      </c>
      <c r="V6" s="20">
        <v>2021</v>
      </c>
    </row>
    <row r="7" spans="14:22">
      <c r="N7" s="7"/>
      <c r="O7" s="7"/>
      <c r="P7" s="7"/>
      <c r="Q7" s="7"/>
      <c r="R7" s="7"/>
      <c r="S7" s="7"/>
      <c r="T7" s="7"/>
      <c r="U7" s="7"/>
      <c r="V7" s="7"/>
    </row>
  </sheetData>
  <phoneticPr fontId="5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V52"/>
  <sheetViews>
    <sheetView workbookViewId="0">
      <selection activeCell="A2" sqref="A2:B2"/>
    </sheetView>
  </sheetViews>
  <sheetFormatPr defaultRowHeight="12.75"/>
  <cols>
    <col min="1" max="1" width="14.7109375" customWidth="1"/>
    <col min="2" max="2" width="22.5703125" customWidth="1"/>
    <col min="3" max="3" width="20.28515625" customWidth="1"/>
    <col min="6" max="6" width="11.28515625" customWidth="1"/>
    <col min="7" max="7" width="11" customWidth="1"/>
    <col min="8" max="8" width="11.42578125" customWidth="1"/>
  </cols>
  <sheetData>
    <row r="1" spans="1:9">
      <c r="A1" s="1" t="s">
        <v>32</v>
      </c>
      <c r="C1" s="1" t="s">
        <v>15</v>
      </c>
      <c r="I1" s="1"/>
    </row>
    <row r="2" spans="1:9">
      <c r="A2" s="1"/>
      <c r="B2" s="2"/>
    </row>
    <row r="4" spans="1:9">
      <c r="A4" s="2" t="s">
        <v>66</v>
      </c>
    </row>
    <row r="5" spans="1:9">
      <c r="A5" s="2"/>
      <c r="B5" s="1" t="s">
        <v>0</v>
      </c>
      <c r="D5" s="3">
        <v>0.1</v>
      </c>
      <c r="F5" s="1" t="s">
        <v>46</v>
      </c>
      <c r="G5" s="24">
        <v>0</v>
      </c>
    </row>
    <row r="6" spans="1:9">
      <c r="A6" s="2"/>
    </row>
    <row r="7" spans="1:9">
      <c r="A7" s="2"/>
      <c r="B7" s="1" t="s">
        <v>1</v>
      </c>
    </row>
    <row r="8" spans="1:9">
      <c r="A8" s="2"/>
      <c r="C8" t="s">
        <v>2</v>
      </c>
      <c r="D8" s="4">
        <v>10</v>
      </c>
    </row>
    <row r="9" spans="1:9">
      <c r="A9" s="2"/>
      <c r="C9" t="s">
        <v>3</v>
      </c>
      <c r="D9" s="4">
        <v>40</v>
      </c>
    </row>
    <row r="10" spans="1:9">
      <c r="A10" s="2"/>
      <c r="C10" t="s">
        <v>4</v>
      </c>
      <c r="D10" s="4">
        <v>2</v>
      </c>
    </row>
    <row r="11" spans="1:9">
      <c r="A11" s="2"/>
    </row>
    <row r="12" spans="1:9">
      <c r="A12" s="2"/>
      <c r="B12" s="1" t="s">
        <v>16</v>
      </c>
    </row>
    <row r="13" spans="1:9">
      <c r="A13" s="2"/>
      <c r="C13" s="1" t="s">
        <v>20</v>
      </c>
    </row>
    <row r="14" spans="1:9">
      <c r="A14" s="2"/>
      <c r="C14" t="s">
        <v>2</v>
      </c>
      <c r="D14" s="5">
        <v>0.5</v>
      </c>
      <c r="I14" s="1"/>
    </row>
    <row r="15" spans="1:9">
      <c r="A15" s="2"/>
      <c r="C15" t="s">
        <v>3</v>
      </c>
      <c r="D15" s="5">
        <v>0.8</v>
      </c>
    </row>
    <row r="16" spans="1:9">
      <c r="A16" s="2"/>
      <c r="D16" s="6"/>
    </row>
    <row r="17" spans="1:9">
      <c r="A17" s="2"/>
      <c r="C17" s="1" t="s">
        <v>29</v>
      </c>
      <c r="D17" s="6"/>
      <c r="I17" s="7"/>
    </row>
    <row r="18" spans="1:9">
      <c r="A18" s="2"/>
      <c r="C18" t="s">
        <v>33</v>
      </c>
      <c r="D18" s="8">
        <v>0.9</v>
      </c>
    </row>
    <row r="19" spans="1:9">
      <c r="A19" s="2"/>
      <c r="C19" t="s">
        <v>34</v>
      </c>
      <c r="D19" s="8">
        <v>0.1</v>
      </c>
    </row>
    <row r="20" spans="1:9">
      <c r="A20" s="2"/>
      <c r="C20" t="s">
        <v>30</v>
      </c>
      <c r="D20" s="8">
        <v>0</v>
      </c>
    </row>
    <row r="21" spans="1:9">
      <c r="A21" s="2"/>
      <c r="C21" t="s">
        <v>31</v>
      </c>
      <c r="D21" s="8">
        <v>0</v>
      </c>
      <c r="H21" s="1"/>
      <c r="I21" t="s">
        <v>5</v>
      </c>
    </row>
    <row r="22" spans="1:9">
      <c r="A22" s="2"/>
      <c r="D22" s="8"/>
      <c r="H22" s="1"/>
    </row>
    <row r="23" spans="1:9">
      <c r="A23" s="2"/>
      <c r="B23" s="1" t="s">
        <v>17</v>
      </c>
      <c r="D23" s="8"/>
      <c r="H23" s="1"/>
    </row>
    <row r="24" spans="1:9">
      <c r="A24" s="2"/>
      <c r="C24" t="s">
        <v>7</v>
      </c>
      <c r="D24" s="4">
        <v>2012</v>
      </c>
      <c r="H24" s="1"/>
    </row>
    <row r="25" spans="1:9">
      <c r="A25" s="2"/>
      <c r="C25" t="s">
        <v>8</v>
      </c>
      <c r="D25" s="4">
        <v>2015</v>
      </c>
      <c r="H25" s="1"/>
    </row>
    <row r="26" spans="1:9">
      <c r="A26" s="2"/>
      <c r="C26" t="s">
        <v>9</v>
      </c>
      <c r="D26" s="4">
        <v>2022</v>
      </c>
      <c r="H26" s="1"/>
    </row>
    <row r="27" spans="1:9">
      <c r="A27" s="2"/>
      <c r="C27" t="s">
        <v>10</v>
      </c>
      <c r="D27" s="4">
        <v>2030</v>
      </c>
      <c r="H27" s="1"/>
    </row>
    <row r="28" spans="1:9">
      <c r="A28" s="2"/>
      <c r="C28" t="s">
        <v>11</v>
      </c>
      <c r="D28" s="4">
        <v>500</v>
      </c>
      <c r="H28" s="1"/>
    </row>
    <row r="29" spans="1:9">
      <c r="A29" s="2"/>
      <c r="C29" t="s">
        <v>12</v>
      </c>
      <c r="D29" s="17">
        <f>(D28-0)/(D25-D24)</f>
        <v>166.66666666666666</v>
      </c>
      <c r="H29" s="1"/>
    </row>
    <row r="30" spans="1:9">
      <c r="A30" s="2"/>
      <c r="C30" t="s">
        <v>13</v>
      </c>
      <c r="D30" s="18">
        <f>(0-D28)/(D27-D26)</f>
        <v>-62.5</v>
      </c>
      <c r="H30" s="1"/>
    </row>
    <row r="31" spans="1:9">
      <c r="A31" s="2"/>
      <c r="D31" s="8"/>
      <c r="H31" s="1"/>
    </row>
    <row r="32" spans="1:9">
      <c r="A32" s="2"/>
      <c r="B32" s="1" t="s">
        <v>18</v>
      </c>
      <c r="C32" s="1"/>
      <c r="H32" s="1"/>
    </row>
    <row r="33" spans="1:22">
      <c r="A33" s="2"/>
      <c r="C33" s="7" t="s">
        <v>14</v>
      </c>
      <c r="D33" s="12">
        <v>0.75</v>
      </c>
      <c r="H33" s="1"/>
    </row>
    <row r="34" spans="1:22">
      <c r="A34" s="2" t="s">
        <v>67</v>
      </c>
      <c r="D34" s="8"/>
      <c r="H34" s="1"/>
    </row>
    <row r="35" spans="1:22">
      <c r="A35" s="2"/>
      <c r="B35" s="1" t="s">
        <v>21</v>
      </c>
      <c r="E35" s="7" t="s">
        <v>6</v>
      </c>
      <c r="H35" s="1"/>
    </row>
    <row r="36" spans="1:22">
      <c r="A36" s="2"/>
      <c r="C36" t="s">
        <v>22</v>
      </c>
      <c r="D36" s="14">
        <f>(1-D14)+D14*(1-D15)+D14*D15*D18*D20*D21</f>
        <v>0.6</v>
      </c>
      <c r="E36" s="15">
        <v>0</v>
      </c>
      <c r="H36" s="1"/>
    </row>
    <row r="37" spans="1:22">
      <c r="A37" s="2"/>
      <c r="C37" t="s">
        <v>23</v>
      </c>
      <c r="D37" s="14">
        <f>D14*D15*D18*(D20*(1-D21)+(1-D20))</f>
        <v>0.36000000000000004</v>
      </c>
      <c r="E37" s="15">
        <v>0.5</v>
      </c>
      <c r="H37" s="1"/>
    </row>
    <row r="38" spans="1:22">
      <c r="A38" s="2"/>
      <c r="C38" t="s">
        <v>24</v>
      </c>
      <c r="D38" s="14">
        <f>D14*D15*(1-D18)</f>
        <v>3.9999999999999994E-2</v>
      </c>
      <c r="E38" s="15">
        <v>1</v>
      </c>
    </row>
    <row r="39" spans="1:22">
      <c r="A39" s="1"/>
      <c r="D39" s="10">
        <f>SUM(D36:D38)</f>
        <v>1</v>
      </c>
      <c r="E39" s="23">
        <f>SUMPRODUCT(D36:D38,E36:E38)</f>
        <v>0.22000000000000003</v>
      </c>
    </row>
    <row r="40" spans="1:22">
      <c r="A40" s="1"/>
      <c r="D40" s="10"/>
      <c r="E40" s="9"/>
    </row>
    <row r="41" spans="1:22" s="1" customFormat="1">
      <c r="D41" s="1">
        <f>D24</f>
        <v>2012</v>
      </c>
      <c r="E41" s="1">
        <f>D41+1</f>
        <v>2013</v>
      </c>
      <c r="F41" s="1">
        <f t="shared" ref="F41:V41" si="0">E41+1</f>
        <v>2014</v>
      </c>
      <c r="G41" s="1">
        <f t="shared" si="0"/>
        <v>2015</v>
      </c>
      <c r="H41" s="1">
        <f t="shared" si="0"/>
        <v>2016</v>
      </c>
      <c r="I41" s="1">
        <f t="shared" si="0"/>
        <v>2017</v>
      </c>
      <c r="J41" s="1">
        <f t="shared" si="0"/>
        <v>2018</v>
      </c>
      <c r="K41" s="1">
        <f t="shared" si="0"/>
        <v>2019</v>
      </c>
      <c r="L41" s="1">
        <f t="shared" si="0"/>
        <v>2020</v>
      </c>
      <c r="M41" s="1">
        <f t="shared" si="0"/>
        <v>2021</v>
      </c>
      <c r="N41" s="1">
        <f t="shared" si="0"/>
        <v>2022</v>
      </c>
      <c r="O41" s="1">
        <f t="shared" si="0"/>
        <v>2023</v>
      </c>
      <c r="P41" s="1">
        <f t="shared" si="0"/>
        <v>2024</v>
      </c>
      <c r="Q41" s="1">
        <f t="shared" si="0"/>
        <v>2025</v>
      </c>
      <c r="R41" s="1">
        <f t="shared" si="0"/>
        <v>2026</v>
      </c>
      <c r="S41" s="1">
        <f t="shared" si="0"/>
        <v>2027</v>
      </c>
      <c r="T41" s="1">
        <f t="shared" si="0"/>
        <v>2028</v>
      </c>
      <c r="U41" s="1">
        <f t="shared" si="0"/>
        <v>2029</v>
      </c>
      <c r="V41" s="1">
        <f t="shared" si="0"/>
        <v>2030</v>
      </c>
    </row>
    <row r="42" spans="1:22">
      <c r="A42" s="1"/>
      <c r="B42" s="1" t="s">
        <v>19</v>
      </c>
      <c r="D42" s="6">
        <f t="shared" ref="D42:V42" si="1">IF(D41&lt;=$D$24,0,IF(D41&lt;=$D$25,($D$29*(D41-$D$41)),IF(D41&lt;=$D$26,$D$28,IF(D41&lt;=$D$27,$D$28-(($D$26-D41)*$D$30),0))))</f>
        <v>0</v>
      </c>
      <c r="E42" s="6">
        <f t="shared" si="1"/>
        <v>166.66666666666666</v>
      </c>
      <c r="F42" s="6">
        <f t="shared" si="1"/>
        <v>333.33333333333331</v>
      </c>
      <c r="G42" s="6">
        <f t="shared" si="1"/>
        <v>500</v>
      </c>
      <c r="H42" s="6">
        <f t="shared" si="1"/>
        <v>500</v>
      </c>
      <c r="I42" s="6">
        <f t="shared" si="1"/>
        <v>500</v>
      </c>
      <c r="J42" s="6">
        <f t="shared" si="1"/>
        <v>500</v>
      </c>
      <c r="K42" s="6">
        <f t="shared" si="1"/>
        <v>500</v>
      </c>
      <c r="L42" s="6">
        <f t="shared" si="1"/>
        <v>500</v>
      </c>
      <c r="M42" s="6">
        <f t="shared" si="1"/>
        <v>500</v>
      </c>
      <c r="N42" s="6">
        <f t="shared" si="1"/>
        <v>500</v>
      </c>
      <c r="O42" s="6">
        <f t="shared" si="1"/>
        <v>437.5</v>
      </c>
      <c r="P42" s="6">
        <f t="shared" si="1"/>
        <v>375</v>
      </c>
      <c r="Q42" s="6">
        <f t="shared" si="1"/>
        <v>312.5</v>
      </c>
      <c r="R42" s="6">
        <f t="shared" si="1"/>
        <v>250</v>
      </c>
      <c r="S42" s="6">
        <f t="shared" si="1"/>
        <v>187.5</v>
      </c>
      <c r="T42" s="6">
        <f t="shared" si="1"/>
        <v>125</v>
      </c>
      <c r="U42" s="6">
        <f t="shared" si="1"/>
        <v>62.5</v>
      </c>
      <c r="V42" s="6">
        <f t="shared" si="1"/>
        <v>0</v>
      </c>
    </row>
    <row r="43" spans="1:22">
      <c r="A43" s="1"/>
    </row>
    <row r="44" spans="1:22">
      <c r="A44" s="1"/>
      <c r="B44" s="1" t="s">
        <v>25</v>
      </c>
      <c r="D44" s="6">
        <f t="shared" ref="D44:V44" si="2">$D$33*D42*$E$39</f>
        <v>0</v>
      </c>
      <c r="E44" s="6">
        <f t="shared" si="2"/>
        <v>27.500000000000004</v>
      </c>
      <c r="F44" s="6">
        <f t="shared" si="2"/>
        <v>55.000000000000007</v>
      </c>
      <c r="G44" s="6">
        <f t="shared" si="2"/>
        <v>82.500000000000014</v>
      </c>
      <c r="H44" s="6">
        <f t="shared" si="2"/>
        <v>82.500000000000014</v>
      </c>
      <c r="I44" s="6">
        <f t="shared" si="2"/>
        <v>82.500000000000014</v>
      </c>
      <c r="J44" s="6">
        <f t="shared" si="2"/>
        <v>82.500000000000014</v>
      </c>
      <c r="K44" s="6">
        <f t="shared" si="2"/>
        <v>82.500000000000014</v>
      </c>
      <c r="L44" s="6">
        <f t="shared" si="2"/>
        <v>82.500000000000014</v>
      </c>
      <c r="M44" s="6">
        <f t="shared" si="2"/>
        <v>82.500000000000014</v>
      </c>
      <c r="N44" s="6">
        <f t="shared" si="2"/>
        <v>82.500000000000014</v>
      </c>
      <c r="O44" s="6">
        <f t="shared" si="2"/>
        <v>72.187500000000014</v>
      </c>
      <c r="P44" s="6">
        <f t="shared" si="2"/>
        <v>61.875000000000007</v>
      </c>
      <c r="Q44" s="6">
        <f t="shared" si="2"/>
        <v>51.562500000000007</v>
      </c>
      <c r="R44" s="6">
        <f t="shared" si="2"/>
        <v>41.250000000000007</v>
      </c>
      <c r="S44" s="6">
        <f t="shared" si="2"/>
        <v>30.937500000000004</v>
      </c>
      <c r="T44" s="6">
        <f t="shared" si="2"/>
        <v>20.625000000000004</v>
      </c>
      <c r="U44" s="6">
        <f t="shared" si="2"/>
        <v>10.312500000000002</v>
      </c>
      <c r="V44" s="6">
        <f t="shared" si="2"/>
        <v>0</v>
      </c>
    </row>
    <row r="45" spans="1:22">
      <c r="A45" s="1"/>
      <c r="B45" s="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>
      <c r="A46" s="1"/>
      <c r="B46" s="1" t="s">
        <v>26</v>
      </c>
      <c r="C46" s="16">
        <f>NPV(D5,D44:V44)*(1-G5)</f>
        <v>471.77215739033301</v>
      </c>
    </row>
    <row r="47" spans="1:22">
      <c r="A47" s="1"/>
      <c r="C47" s="7"/>
      <c r="D47" s="13"/>
    </row>
    <row r="48" spans="1:22">
      <c r="A48" s="1"/>
      <c r="B48" s="1" t="s">
        <v>27</v>
      </c>
      <c r="C48" s="15">
        <f>D8+D14*D9+D14*D15*D10</f>
        <v>30.8</v>
      </c>
      <c r="D48" s="13"/>
    </row>
    <row r="49" spans="2:3">
      <c r="C49" s="7"/>
    </row>
    <row r="50" spans="2:3">
      <c r="B50" s="1" t="s">
        <v>28</v>
      </c>
      <c r="C50" s="15">
        <f>C46/C48</f>
        <v>15.317277837348474</v>
      </c>
    </row>
    <row r="51" spans="2:3">
      <c r="B51" s="1"/>
      <c r="C51" s="15"/>
    </row>
    <row r="52" spans="2:3">
      <c r="B52" s="1"/>
      <c r="C52" s="15"/>
    </row>
  </sheetData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D3:E7"/>
  <sheetViews>
    <sheetView workbookViewId="0">
      <selection activeCell="G4" sqref="G4"/>
    </sheetView>
  </sheetViews>
  <sheetFormatPr defaultRowHeight="12.75"/>
  <sheetData>
    <row r="3" spans="4:5">
      <c r="D3" t="s">
        <v>59</v>
      </c>
      <c r="E3" t="s">
        <v>60</v>
      </c>
    </row>
    <row r="4" spans="4:5">
      <c r="D4">
        <v>0</v>
      </c>
      <c r="E4">
        <v>0.76</v>
      </c>
    </row>
    <row r="5" spans="4:5">
      <c r="D5">
        <v>9.6999999999999993</v>
      </c>
      <c r="E5">
        <v>1</v>
      </c>
    </row>
    <row r="6" spans="4:5">
      <c r="D6">
        <v>34.799999999999997</v>
      </c>
      <c r="E6">
        <v>0.2</v>
      </c>
    </row>
    <row r="7" spans="4:5">
      <c r="D7">
        <v>69.599999999999994</v>
      </c>
      <c r="E7">
        <v>0.04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U996"/>
  <sheetViews>
    <sheetView showGridLines="0" zoomScale="75" workbookViewId="0">
      <selection activeCell="L45" sqref="L45"/>
    </sheetView>
  </sheetViews>
  <sheetFormatPr defaultRowHeight="12.75"/>
  <cols>
    <col min="1" max="1" width="9.140625" style="40"/>
    <col min="2" max="2" width="2.28515625" style="40" customWidth="1"/>
    <col min="3" max="3" width="3.7109375" style="40" customWidth="1"/>
    <col min="4" max="4" width="9.140625" style="40"/>
    <col min="5" max="5" width="6.7109375" style="40" customWidth="1"/>
    <col min="6" max="6" width="2.28515625" style="40" customWidth="1"/>
    <col min="7" max="7" width="3.7109375" style="40" customWidth="1"/>
    <col min="8" max="8" width="9.140625" style="40"/>
    <col min="9" max="9" width="6.7109375" style="40" customWidth="1"/>
    <col min="10" max="10" width="2.28515625" style="40" customWidth="1"/>
    <col min="11" max="11" width="3.7109375" style="40" customWidth="1"/>
    <col min="12" max="12" width="9.140625" style="40"/>
    <col min="13" max="13" width="6.7109375" style="40" customWidth="1"/>
    <col min="14" max="14" width="2.28515625" style="40" customWidth="1"/>
    <col min="15" max="15" width="3.7109375" style="40" customWidth="1"/>
    <col min="16" max="16" width="9.140625" style="40"/>
    <col min="17" max="17" width="6.7109375" style="40" customWidth="1"/>
    <col min="18" max="18" width="2.28515625" style="40" customWidth="1"/>
    <col min="19" max="19" width="3.7109375" style="40" customWidth="1"/>
    <col min="20" max="20" width="9.140625" style="40"/>
    <col min="21" max="21" width="6.7109375" style="40" customWidth="1"/>
    <col min="22" max="22" width="2.28515625" style="40" customWidth="1"/>
    <col min="23" max="16384" width="9.140625" style="40"/>
  </cols>
  <sheetData>
    <row r="2" spans="1:23">
      <c r="D2" s="40">
        <v>0.5</v>
      </c>
      <c r="W2" s="40" t="s">
        <v>119</v>
      </c>
    </row>
    <row r="3" spans="1:23">
      <c r="D3" s="40" t="s">
        <v>96</v>
      </c>
    </row>
    <row r="4" spans="1:23">
      <c r="W4" s="43">
        <f>SUM(D5)</f>
        <v>0</v>
      </c>
    </row>
    <row r="5" spans="1:23">
      <c r="E5" s="40">
        <f>W4</f>
        <v>0</v>
      </c>
      <c r="W5" s="43"/>
    </row>
    <row r="6" spans="1:23">
      <c r="W6" s="43"/>
    </row>
    <row r="7" spans="1:23">
      <c r="H7" s="40">
        <v>0.2</v>
      </c>
      <c r="W7" s="43"/>
    </row>
    <row r="8" spans="1:23">
      <c r="A8" s="41"/>
      <c r="H8" s="40" t="s">
        <v>96</v>
      </c>
      <c r="W8" s="43"/>
    </row>
    <row r="9" spans="1:23">
      <c r="W9" s="43">
        <f>SUM(H10,D15)</f>
        <v>0</v>
      </c>
    </row>
    <row r="10" spans="1:23">
      <c r="A10" s="40">
        <f>IF(ABS(1-SUM(D2,D12))&lt;=0.00001,SUM(D2*E5,D12*E15),NA())</f>
        <v>0.13900000000000001</v>
      </c>
      <c r="I10" s="40">
        <f>W9</f>
        <v>0</v>
      </c>
      <c r="W10" s="43"/>
    </row>
    <row r="11" spans="1:23">
      <c r="W11" s="43"/>
    </row>
    <row r="12" spans="1:23">
      <c r="D12" s="40">
        <v>0.5</v>
      </c>
      <c r="L12" s="40">
        <v>0.1</v>
      </c>
      <c r="W12" s="43"/>
    </row>
    <row r="13" spans="1:23">
      <c r="D13" s="40" t="s">
        <v>93</v>
      </c>
      <c r="L13" s="40" t="s">
        <v>120</v>
      </c>
      <c r="W13" s="43"/>
    </row>
    <row r="14" spans="1:23">
      <c r="W14" s="43">
        <v>1</v>
      </c>
    </row>
    <row r="15" spans="1:23">
      <c r="E15" s="40">
        <f>IF(ABS(1-SUM(H7,H17))&lt;=0.00001,SUM(H7*I10,H17*I20),NA())</f>
        <v>0.27800000000000002</v>
      </c>
      <c r="M15" s="40">
        <f>W14</f>
        <v>1</v>
      </c>
      <c r="W15" s="43"/>
    </row>
    <row r="16" spans="1:23">
      <c r="W16" s="43"/>
    </row>
    <row r="17" spans="4:23">
      <c r="H17" s="40">
        <v>0.8</v>
      </c>
      <c r="T17" s="40">
        <v>0.5</v>
      </c>
      <c r="W17" s="43"/>
    </row>
    <row r="18" spans="4:23">
      <c r="H18" s="40" t="s">
        <v>93</v>
      </c>
      <c r="T18" s="40" t="s">
        <v>121</v>
      </c>
      <c r="W18" s="43"/>
    </row>
    <row r="19" spans="4:23">
      <c r="P19" s="40">
        <v>0.9</v>
      </c>
      <c r="W19" s="43">
        <f>SUM(T20,P22,L26,H20,D15)</f>
        <v>0</v>
      </c>
    </row>
    <row r="20" spans="4:23">
      <c r="I20" s="40">
        <f>IF(ABS(1-SUM(L12,L23))&lt;=0.00001,SUM(L12*M15,L23*M26),NA())</f>
        <v>0.34750000000000003</v>
      </c>
      <c r="P20" s="40" t="s">
        <v>122</v>
      </c>
      <c r="U20" s="40">
        <f>W19</f>
        <v>0</v>
      </c>
      <c r="W20" s="43"/>
    </row>
    <row r="21" spans="4:23">
      <c r="W21" s="43"/>
    </row>
    <row r="22" spans="4:23">
      <c r="Q22" s="40">
        <f>IF(ABS(1-SUM(T17,T22))&lt;=0.00001,SUM(T17*U20,T22*U25),NA())</f>
        <v>0.25</v>
      </c>
      <c r="T22" s="40">
        <v>0.5</v>
      </c>
      <c r="W22" s="43"/>
    </row>
    <row r="23" spans="4:23">
      <c r="L23" s="40">
        <v>0.9</v>
      </c>
      <c r="T23" s="40" t="s">
        <v>123</v>
      </c>
      <c r="W23" s="43"/>
    </row>
    <row r="24" spans="4:23">
      <c r="L24" s="40" t="s">
        <v>124</v>
      </c>
      <c r="W24" s="43">
        <v>0.5</v>
      </c>
    </row>
    <row r="25" spans="4:23">
      <c r="U25" s="40">
        <f>W24</f>
        <v>0.5</v>
      </c>
      <c r="W25" s="43"/>
    </row>
    <row r="26" spans="4:23">
      <c r="M26" s="40">
        <f>IF(ABS(1-SUM(P19,P27))&lt;=0.00001,SUM(P19*Q22,P27*Q30),NA())</f>
        <v>0.27500000000000002</v>
      </c>
      <c r="W26" s="43"/>
    </row>
    <row r="27" spans="4:23">
      <c r="P27" s="40">
        <v>0.1</v>
      </c>
      <c r="W27" s="43"/>
    </row>
    <row r="28" spans="4:23">
      <c r="P28" s="40" t="s">
        <v>125</v>
      </c>
      <c r="W28" s="43"/>
    </row>
    <row r="29" spans="4:23">
      <c r="W29" s="43">
        <v>0.5</v>
      </c>
    </row>
    <row r="30" spans="4:23">
      <c r="Q30" s="40">
        <f>W29</f>
        <v>0.5</v>
      </c>
    </row>
    <row r="32" spans="4:23">
      <c r="D32" s="42" t="s">
        <v>98</v>
      </c>
      <c r="E32" s="42"/>
      <c r="F32" s="42"/>
      <c r="G32" s="42"/>
      <c r="H32" s="42" t="s">
        <v>97</v>
      </c>
      <c r="I32" s="42"/>
      <c r="J32" s="42"/>
      <c r="K32" s="42"/>
      <c r="L32" s="42" t="s">
        <v>126</v>
      </c>
      <c r="M32" s="42"/>
      <c r="N32" s="42"/>
      <c r="O32" s="42"/>
      <c r="P32" s="42" t="s">
        <v>127</v>
      </c>
      <c r="Q32" s="42"/>
      <c r="R32" s="42"/>
      <c r="S32" s="42"/>
      <c r="T32" s="42" t="s">
        <v>128</v>
      </c>
    </row>
    <row r="985" spans="189:203">
      <c r="GG985" s="40" t="s">
        <v>102</v>
      </c>
      <c r="GH985" s="40" t="s">
        <v>103</v>
      </c>
      <c r="GI985" s="40" t="s">
        <v>104</v>
      </c>
      <c r="GJ985" s="40" t="s">
        <v>60</v>
      </c>
      <c r="GK985" s="40" t="s">
        <v>105</v>
      </c>
      <c r="GL985" s="40" t="s">
        <v>106</v>
      </c>
      <c r="GM985" s="40" t="s">
        <v>107</v>
      </c>
      <c r="GN985" s="40" t="s">
        <v>108</v>
      </c>
      <c r="GO985" s="40" t="s">
        <v>109</v>
      </c>
      <c r="GP985" s="40" t="s">
        <v>110</v>
      </c>
      <c r="GQ985" s="40" t="s">
        <v>111</v>
      </c>
      <c r="GR985" s="40" t="s">
        <v>112</v>
      </c>
      <c r="GS985" s="40" t="s">
        <v>113</v>
      </c>
      <c r="GT985" s="40" t="s">
        <v>114</v>
      </c>
      <c r="GU985" s="40" t="s">
        <v>115</v>
      </c>
    </row>
    <row r="986" spans="189:203">
      <c r="GG986" s="40">
        <v>0</v>
      </c>
      <c r="GH986" s="40" t="s">
        <v>116</v>
      </c>
      <c r="GI986" s="40">
        <v>0</v>
      </c>
      <c r="GJ986" s="40">
        <v>0</v>
      </c>
      <c r="GK986" s="40">
        <v>0</v>
      </c>
      <c r="GL986" s="40" t="s">
        <v>117</v>
      </c>
      <c r="GM986" s="40">
        <v>2</v>
      </c>
      <c r="GN986" s="40">
        <v>1</v>
      </c>
      <c r="GO986" s="40">
        <v>2</v>
      </c>
      <c r="GP986" s="40">
        <v>0</v>
      </c>
      <c r="GQ986" s="40">
        <v>0</v>
      </c>
      <c r="GR986" s="40">
        <v>0</v>
      </c>
      <c r="GS986" s="40">
        <v>7</v>
      </c>
      <c r="GT986" s="40">
        <v>1</v>
      </c>
      <c r="GU986" s="40" t="b">
        <v>1</v>
      </c>
    </row>
    <row r="987" spans="189:203">
      <c r="GG987" s="40">
        <v>1</v>
      </c>
      <c r="GK987" s="40">
        <v>0</v>
      </c>
      <c r="GL987" s="40" t="s">
        <v>118</v>
      </c>
      <c r="GM987" s="40">
        <v>0</v>
      </c>
      <c r="GN987" s="40">
        <v>0</v>
      </c>
      <c r="GO987" s="40">
        <v>0</v>
      </c>
      <c r="GP987" s="40">
        <v>0</v>
      </c>
      <c r="GQ987" s="40">
        <v>0</v>
      </c>
      <c r="GR987" s="40">
        <v>0</v>
      </c>
      <c r="GS987" s="40">
        <v>2</v>
      </c>
      <c r="GT987" s="40">
        <v>5</v>
      </c>
      <c r="GU987" s="40" t="b">
        <v>1</v>
      </c>
    </row>
    <row r="988" spans="189:203">
      <c r="GG988" s="40">
        <v>2</v>
      </c>
      <c r="GK988" s="40">
        <v>0</v>
      </c>
      <c r="GL988" s="40" t="s">
        <v>117</v>
      </c>
      <c r="GM988" s="40">
        <v>2</v>
      </c>
      <c r="GN988" s="40">
        <v>3</v>
      </c>
      <c r="GO988" s="40">
        <v>4</v>
      </c>
      <c r="GP988" s="40">
        <v>0</v>
      </c>
      <c r="GQ988" s="40">
        <v>0</v>
      </c>
      <c r="GR988" s="40">
        <v>0</v>
      </c>
      <c r="GS988" s="40">
        <v>12</v>
      </c>
      <c r="GT988" s="40">
        <v>5</v>
      </c>
      <c r="GU988" s="40" t="b">
        <v>1</v>
      </c>
    </row>
    <row r="989" spans="189:203">
      <c r="GG989" s="40">
        <v>3</v>
      </c>
      <c r="GK989" s="40">
        <v>2</v>
      </c>
      <c r="GL989" s="40" t="s">
        <v>118</v>
      </c>
      <c r="GM989" s="40">
        <v>0</v>
      </c>
      <c r="GN989" s="40">
        <v>0</v>
      </c>
      <c r="GO989" s="40">
        <v>0</v>
      </c>
      <c r="GP989" s="40">
        <v>0</v>
      </c>
      <c r="GQ989" s="40">
        <v>0</v>
      </c>
      <c r="GR989" s="40">
        <v>0</v>
      </c>
      <c r="GS989" s="40">
        <v>7</v>
      </c>
      <c r="GT989" s="40">
        <v>9</v>
      </c>
      <c r="GU989" s="40" t="b">
        <v>1</v>
      </c>
    </row>
    <row r="990" spans="189:203">
      <c r="GG990" s="40">
        <v>4</v>
      </c>
      <c r="GK990" s="40">
        <v>2</v>
      </c>
      <c r="GL990" s="40" t="s">
        <v>117</v>
      </c>
      <c r="GM990" s="40">
        <v>2</v>
      </c>
      <c r="GN990" s="40">
        <v>5</v>
      </c>
      <c r="GO990" s="40">
        <v>6</v>
      </c>
      <c r="GP990" s="40">
        <v>0</v>
      </c>
      <c r="GQ990" s="40">
        <v>0</v>
      </c>
      <c r="GR990" s="40">
        <v>0</v>
      </c>
      <c r="GS990" s="40">
        <v>17</v>
      </c>
      <c r="GT990" s="40">
        <v>9</v>
      </c>
      <c r="GU990" s="40" t="b">
        <v>1</v>
      </c>
    </row>
    <row r="991" spans="189:203">
      <c r="GG991" s="40">
        <v>5</v>
      </c>
      <c r="GK991" s="40">
        <v>4</v>
      </c>
      <c r="GL991" s="40" t="s">
        <v>118</v>
      </c>
      <c r="GM991" s="40">
        <v>0</v>
      </c>
      <c r="GN991" s="40">
        <v>0</v>
      </c>
      <c r="GO991" s="40">
        <v>0</v>
      </c>
      <c r="GP991" s="40">
        <v>0</v>
      </c>
      <c r="GQ991" s="40">
        <v>0</v>
      </c>
      <c r="GR991" s="40">
        <v>0</v>
      </c>
      <c r="GS991" s="40">
        <v>12</v>
      </c>
      <c r="GT991" s="40">
        <v>13</v>
      </c>
      <c r="GU991" s="40" t="b">
        <v>1</v>
      </c>
    </row>
    <row r="992" spans="189:203">
      <c r="GG992" s="40">
        <v>6</v>
      </c>
      <c r="GK992" s="40">
        <v>4</v>
      </c>
      <c r="GL992" s="40" t="s">
        <v>117</v>
      </c>
      <c r="GM992" s="40">
        <v>2</v>
      </c>
      <c r="GN992" s="40">
        <v>7</v>
      </c>
      <c r="GO992" s="40">
        <v>8</v>
      </c>
      <c r="GP992" s="40">
        <v>0</v>
      </c>
      <c r="GQ992" s="40">
        <v>0</v>
      </c>
      <c r="GR992" s="40">
        <v>0</v>
      </c>
      <c r="GS992" s="40">
        <v>23</v>
      </c>
      <c r="GT992" s="40">
        <v>13</v>
      </c>
      <c r="GU992" s="40" t="b">
        <v>1</v>
      </c>
    </row>
    <row r="993" spans="189:203">
      <c r="GG993" s="40">
        <v>7</v>
      </c>
      <c r="GK993" s="40">
        <v>6</v>
      </c>
      <c r="GL993" s="40" t="s">
        <v>117</v>
      </c>
      <c r="GM993" s="40">
        <v>2</v>
      </c>
      <c r="GN993" s="40">
        <v>9</v>
      </c>
      <c r="GO993" s="40">
        <v>10</v>
      </c>
      <c r="GP993" s="40">
        <v>0</v>
      </c>
      <c r="GQ993" s="40">
        <v>0</v>
      </c>
      <c r="GR993" s="40">
        <v>0</v>
      </c>
      <c r="GS993" s="40">
        <v>19</v>
      </c>
      <c r="GT993" s="40">
        <v>17</v>
      </c>
      <c r="GU993" s="40" t="b">
        <v>1</v>
      </c>
    </row>
    <row r="994" spans="189:203">
      <c r="GG994" s="40">
        <v>8</v>
      </c>
      <c r="GK994" s="40">
        <v>6</v>
      </c>
      <c r="GL994" s="40" t="s">
        <v>118</v>
      </c>
      <c r="GM994" s="40">
        <v>0</v>
      </c>
      <c r="GN994" s="40">
        <v>0</v>
      </c>
      <c r="GO994" s="40">
        <v>0</v>
      </c>
      <c r="GP994" s="40">
        <v>0</v>
      </c>
      <c r="GQ994" s="40">
        <v>0</v>
      </c>
      <c r="GR994" s="40">
        <v>0</v>
      </c>
      <c r="GS994" s="40">
        <v>27</v>
      </c>
      <c r="GT994" s="40">
        <v>17</v>
      </c>
      <c r="GU994" s="40" t="b">
        <v>1</v>
      </c>
    </row>
    <row r="995" spans="189:203">
      <c r="GG995" s="40">
        <v>9</v>
      </c>
      <c r="GK995" s="40">
        <v>7</v>
      </c>
      <c r="GL995" s="40" t="s">
        <v>118</v>
      </c>
      <c r="GM995" s="40">
        <v>0</v>
      </c>
      <c r="GN995" s="40">
        <v>0</v>
      </c>
      <c r="GO995" s="40">
        <v>0</v>
      </c>
      <c r="GP995" s="40">
        <v>0</v>
      </c>
      <c r="GQ995" s="40">
        <v>0</v>
      </c>
      <c r="GR995" s="40">
        <v>0</v>
      </c>
      <c r="GS995" s="40">
        <v>17</v>
      </c>
      <c r="GT995" s="40">
        <v>21</v>
      </c>
      <c r="GU995" s="40" t="b">
        <v>1</v>
      </c>
    </row>
    <row r="996" spans="189:203">
      <c r="GG996" s="40">
        <v>10</v>
      </c>
      <c r="GK996" s="40">
        <v>7</v>
      </c>
      <c r="GL996" s="40" t="s">
        <v>118</v>
      </c>
      <c r="GM996" s="40">
        <v>0</v>
      </c>
      <c r="GN996" s="40">
        <v>0</v>
      </c>
      <c r="GO996" s="40">
        <v>0</v>
      </c>
      <c r="GP996" s="40">
        <v>0</v>
      </c>
      <c r="GQ996" s="40">
        <v>0</v>
      </c>
      <c r="GR996" s="40">
        <v>0</v>
      </c>
      <c r="GS996" s="40">
        <v>22</v>
      </c>
      <c r="GT996" s="40">
        <v>21</v>
      </c>
      <c r="GU996" s="40" t="b">
        <v>1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V52"/>
  <sheetViews>
    <sheetView zoomScale="80" zoomScaleNormal="80" workbookViewId="0">
      <selection sqref="A1:V50"/>
    </sheetView>
  </sheetViews>
  <sheetFormatPr defaultRowHeight="12.75"/>
  <cols>
    <col min="1" max="1" width="16.5703125" bestFit="1" customWidth="1"/>
    <col min="2" max="2" width="26.7109375" bestFit="1" customWidth="1"/>
    <col min="3" max="3" width="22.85546875" bestFit="1" customWidth="1"/>
    <col min="4" max="4" width="6.28515625" bestFit="1" customWidth="1"/>
    <col min="5" max="5" width="6.42578125" bestFit="1" customWidth="1"/>
    <col min="6" max="7" width="8.42578125" customWidth="1"/>
    <col min="8" max="22" width="5.7109375" customWidth="1"/>
  </cols>
  <sheetData>
    <row r="1" spans="1:11">
      <c r="A1" s="1" t="s">
        <v>32</v>
      </c>
      <c r="C1" s="1" t="s">
        <v>15</v>
      </c>
      <c r="I1" s="1"/>
    </row>
    <row r="2" spans="1:11">
      <c r="A2" s="1"/>
      <c r="B2" s="2"/>
      <c r="J2" s="7"/>
      <c r="K2" s="7"/>
    </row>
    <row r="3" spans="1:11">
      <c r="J3" s="7"/>
      <c r="K3" s="7"/>
    </row>
    <row r="4" spans="1:11">
      <c r="A4" s="2" t="s">
        <v>66</v>
      </c>
      <c r="J4" s="7"/>
      <c r="K4" s="7"/>
    </row>
    <row r="5" spans="1:11">
      <c r="A5" s="2"/>
      <c r="B5" s="1" t="s">
        <v>0</v>
      </c>
      <c r="D5" s="3">
        <v>0.1</v>
      </c>
      <c r="J5" s="7"/>
      <c r="K5" s="7"/>
    </row>
    <row r="6" spans="1:11">
      <c r="A6" s="2"/>
    </row>
    <row r="7" spans="1:11">
      <c r="A7" s="2"/>
      <c r="B7" s="1" t="s">
        <v>1</v>
      </c>
    </row>
    <row r="8" spans="1:11">
      <c r="A8" s="2"/>
      <c r="C8" t="s">
        <v>2</v>
      </c>
      <c r="D8" s="4">
        <v>10</v>
      </c>
    </row>
    <row r="9" spans="1:11">
      <c r="A9" s="2"/>
      <c r="C9" t="s">
        <v>3</v>
      </c>
      <c r="D9" s="4">
        <v>40</v>
      </c>
    </row>
    <row r="10" spans="1:11">
      <c r="A10" s="2"/>
      <c r="C10" t="s">
        <v>4</v>
      </c>
      <c r="D10" s="4">
        <v>2</v>
      </c>
    </row>
    <row r="11" spans="1:11">
      <c r="A11" s="2"/>
    </row>
    <row r="12" spans="1:11">
      <c r="A12" s="2"/>
      <c r="B12" s="1" t="s">
        <v>16</v>
      </c>
    </row>
    <row r="13" spans="1:11">
      <c r="A13" s="2"/>
      <c r="C13" s="1" t="s">
        <v>20</v>
      </c>
    </row>
    <row r="14" spans="1:11">
      <c r="A14" s="2"/>
      <c r="C14" t="s">
        <v>2</v>
      </c>
      <c r="D14" s="5">
        <v>0.5</v>
      </c>
      <c r="I14" s="1"/>
    </row>
    <row r="15" spans="1:11">
      <c r="A15" s="2"/>
      <c r="C15" t="s">
        <v>3</v>
      </c>
      <c r="D15" s="5">
        <v>0.8</v>
      </c>
    </row>
    <row r="16" spans="1:11">
      <c r="A16" s="2"/>
      <c r="D16" s="6"/>
    </row>
    <row r="17" spans="1:9">
      <c r="A17" s="2"/>
      <c r="C17" s="1" t="s">
        <v>29</v>
      </c>
      <c r="D17" s="6"/>
      <c r="I17" s="7"/>
    </row>
    <row r="18" spans="1:9">
      <c r="A18" s="2"/>
      <c r="C18" t="s">
        <v>33</v>
      </c>
      <c r="D18" s="8">
        <v>0.9</v>
      </c>
    </row>
    <row r="19" spans="1:9">
      <c r="A19" s="2"/>
      <c r="C19" t="s">
        <v>34</v>
      </c>
      <c r="D19" s="8">
        <v>0.1</v>
      </c>
    </row>
    <row r="20" spans="1:9">
      <c r="A20" s="2"/>
      <c r="C20" t="s">
        <v>30</v>
      </c>
      <c r="D20" s="8">
        <v>0.9</v>
      </c>
    </row>
    <row r="21" spans="1:9">
      <c r="A21" s="2"/>
      <c r="C21" t="s">
        <v>31</v>
      </c>
      <c r="D21" s="8">
        <v>0.5</v>
      </c>
      <c r="H21" s="1"/>
      <c r="I21" t="s">
        <v>5</v>
      </c>
    </row>
    <row r="22" spans="1:9">
      <c r="A22" s="2"/>
      <c r="D22" s="8"/>
      <c r="H22" s="1"/>
    </row>
    <row r="23" spans="1:9">
      <c r="A23" s="2"/>
      <c r="B23" s="1" t="s">
        <v>17</v>
      </c>
      <c r="D23" s="8"/>
      <c r="H23" s="1"/>
    </row>
    <row r="24" spans="1:9">
      <c r="A24" s="2"/>
      <c r="C24" t="s">
        <v>7</v>
      </c>
      <c r="D24" s="4">
        <v>2012</v>
      </c>
      <c r="H24" s="1"/>
    </row>
    <row r="25" spans="1:9">
      <c r="A25" s="2"/>
      <c r="C25" t="s">
        <v>8</v>
      </c>
      <c r="D25" s="4">
        <v>2015</v>
      </c>
      <c r="H25" s="1"/>
    </row>
    <row r="26" spans="1:9">
      <c r="A26" s="2"/>
      <c r="C26" t="s">
        <v>9</v>
      </c>
      <c r="D26" s="4">
        <v>2022</v>
      </c>
      <c r="H26" s="1"/>
    </row>
    <row r="27" spans="1:9">
      <c r="A27" s="2"/>
      <c r="C27" t="s">
        <v>10</v>
      </c>
      <c r="D27" s="4">
        <v>2030</v>
      </c>
      <c r="H27" s="1"/>
    </row>
    <row r="28" spans="1:9">
      <c r="A28" s="2"/>
      <c r="C28" t="s">
        <v>11</v>
      </c>
      <c r="D28" s="4">
        <v>500</v>
      </c>
      <c r="H28" s="1"/>
    </row>
    <row r="29" spans="1:9">
      <c r="A29" s="2"/>
      <c r="C29" t="s">
        <v>12</v>
      </c>
      <c r="D29" s="17">
        <f>(D28-0)/(D25-D24)</f>
        <v>166.66666666666666</v>
      </c>
      <c r="H29" s="1"/>
    </row>
    <row r="30" spans="1:9">
      <c r="A30" s="2"/>
      <c r="C30" t="s">
        <v>13</v>
      </c>
      <c r="D30" s="18">
        <f>(0-D28)/(D27-D26)</f>
        <v>-62.5</v>
      </c>
      <c r="H30" s="1"/>
    </row>
    <row r="31" spans="1:9">
      <c r="A31" s="2"/>
      <c r="D31" s="8"/>
      <c r="H31" s="1"/>
    </row>
    <row r="32" spans="1:9">
      <c r="A32" s="2"/>
      <c r="B32" s="1" t="s">
        <v>18</v>
      </c>
      <c r="C32" s="1"/>
      <c r="H32" s="1"/>
    </row>
    <row r="33" spans="1:22">
      <c r="A33" s="2"/>
      <c r="C33" s="7" t="s">
        <v>14</v>
      </c>
      <c r="D33" s="12">
        <v>0.75</v>
      </c>
      <c r="H33" s="1"/>
    </row>
    <row r="34" spans="1:22">
      <c r="A34" s="2" t="s">
        <v>67</v>
      </c>
      <c r="D34" s="8"/>
      <c r="H34" s="1"/>
    </row>
    <row r="35" spans="1:22">
      <c r="A35" s="2"/>
      <c r="B35" s="1" t="s">
        <v>21</v>
      </c>
      <c r="E35" s="7" t="s">
        <v>6</v>
      </c>
      <c r="H35" s="1"/>
    </row>
    <row r="36" spans="1:22">
      <c r="A36" s="2"/>
      <c r="C36" t="s">
        <v>22</v>
      </c>
      <c r="D36" s="14">
        <f>(1-D14)+D14*(1-D15)+D14*D15*D18*D20*D21</f>
        <v>0.76200000000000001</v>
      </c>
      <c r="E36" s="15">
        <v>0</v>
      </c>
      <c r="H36" s="1"/>
    </row>
    <row r="37" spans="1:22">
      <c r="A37" s="2"/>
      <c r="C37" t="s">
        <v>23</v>
      </c>
      <c r="D37" s="14">
        <f>D14*D15*D18*(D20*(1-D21)+(1-D20))</f>
        <v>0.19800000000000004</v>
      </c>
      <c r="E37" s="15">
        <v>0.5</v>
      </c>
      <c r="H37" s="1"/>
    </row>
    <row r="38" spans="1:22">
      <c r="A38" s="2"/>
      <c r="C38" t="s">
        <v>24</v>
      </c>
      <c r="D38" s="14">
        <f>D14*D15*(1-D18)</f>
        <v>3.9999999999999994E-2</v>
      </c>
      <c r="E38" s="15">
        <v>1</v>
      </c>
    </row>
    <row r="39" spans="1:22">
      <c r="A39" s="1"/>
      <c r="D39" s="10">
        <f>SUM(D36:D38)</f>
        <v>1</v>
      </c>
      <c r="E39" s="23">
        <f>SUMPRODUCT(D36:D38,E36:E38)</f>
        <v>0.13900000000000001</v>
      </c>
    </row>
    <row r="40" spans="1:22">
      <c r="A40" s="1"/>
      <c r="D40" s="10"/>
      <c r="E40" s="9"/>
    </row>
    <row r="41" spans="1:22" s="1" customFormat="1">
      <c r="D41" s="1">
        <f>D24</f>
        <v>2012</v>
      </c>
      <c r="E41" s="1">
        <f>1+D41</f>
        <v>2013</v>
      </c>
      <c r="F41" s="1">
        <f t="shared" ref="F41:V41" si="0">1+E41</f>
        <v>2014</v>
      </c>
      <c r="G41" s="1">
        <f t="shared" si="0"/>
        <v>2015</v>
      </c>
      <c r="H41" s="1">
        <f t="shared" si="0"/>
        <v>2016</v>
      </c>
      <c r="I41" s="1">
        <f t="shared" si="0"/>
        <v>2017</v>
      </c>
      <c r="J41" s="1">
        <f t="shared" si="0"/>
        <v>2018</v>
      </c>
      <c r="K41" s="1">
        <f t="shared" si="0"/>
        <v>2019</v>
      </c>
      <c r="L41" s="1">
        <f t="shared" si="0"/>
        <v>2020</v>
      </c>
      <c r="M41" s="1">
        <f t="shared" si="0"/>
        <v>2021</v>
      </c>
      <c r="N41" s="1">
        <f t="shared" si="0"/>
        <v>2022</v>
      </c>
      <c r="O41" s="1">
        <f t="shared" si="0"/>
        <v>2023</v>
      </c>
      <c r="P41" s="1">
        <f t="shared" si="0"/>
        <v>2024</v>
      </c>
      <c r="Q41" s="1">
        <f t="shared" si="0"/>
        <v>2025</v>
      </c>
      <c r="R41" s="1">
        <f t="shared" si="0"/>
        <v>2026</v>
      </c>
      <c r="S41" s="1">
        <f t="shared" si="0"/>
        <v>2027</v>
      </c>
      <c r="T41" s="1">
        <f t="shared" si="0"/>
        <v>2028</v>
      </c>
      <c r="U41" s="1">
        <f t="shared" si="0"/>
        <v>2029</v>
      </c>
      <c r="V41" s="1">
        <f t="shared" si="0"/>
        <v>2030</v>
      </c>
    </row>
    <row r="42" spans="1:22">
      <c r="A42" s="1"/>
      <c r="B42" s="1" t="s">
        <v>19</v>
      </c>
      <c r="D42" s="6">
        <f>IF(D41&lt;=$D$24,0,IF(D41&lt;=$D$25,($D$29*(D41-$D$41)),IF(D41&lt;=$D$26,$D$28,IF(D41&lt;=$D$27,$D$28-(($D$26-D41)*$D$30),0))))</f>
        <v>0</v>
      </c>
      <c r="E42" s="6">
        <f t="shared" ref="E42:V42" si="1">IF(E41&lt;=$D$24,0,IF(E41&lt;=$D$25,($D$29*(E41-$D$41)),IF(E41&lt;=$D$26,$D$28,IF(E41&lt;=$D$27,$D$28-(($D$26-E41)*$D$30),0))))</f>
        <v>166.66666666666666</v>
      </c>
      <c r="F42" s="6">
        <f t="shared" si="1"/>
        <v>333.33333333333331</v>
      </c>
      <c r="G42" s="6">
        <f t="shared" si="1"/>
        <v>500</v>
      </c>
      <c r="H42" s="6">
        <f t="shared" si="1"/>
        <v>500</v>
      </c>
      <c r="I42" s="6">
        <f t="shared" si="1"/>
        <v>500</v>
      </c>
      <c r="J42" s="6">
        <f t="shared" si="1"/>
        <v>500</v>
      </c>
      <c r="K42" s="6">
        <f t="shared" si="1"/>
        <v>500</v>
      </c>
      <c r="L42" s="6">
        <f t="shared" si="1"/>
        <v>500</v>
      </c>
      <c r="M42" s="6">
        <f t="shared" si="1"/>
        <v>500</v>
      </c>
      <c r="N42" s="6">
        <f t="shared" si="1"/>
        <v>500</v>
      </c>
      <c r="O42" s="6">
        <f t="shared" si="1"/>
        <v>437.5</v>
      </c>
      <c r="P42" s="6">
        <f t="shared" si="1"/>
        <v>375</v>
      </c>
      <c r="Q42" s="6">
        <f t="shared" si="1"/>
        <v>312.5</v>
      </c>
      <c r="R42" s="6">
        <f t="shared" si="1"/>
        <v>250</v>
      </c>
      <c r="S42" s="6">
        <f t="shared" si="1"/>
        <v>187.5</v>
      </c>
      <c r="T42" s="6">
        <f t="shared" si="1"/>
        <v>125</v>
      </c>
      <c r="U42" s="6">
        <f t="shared" si="1"/>
        <v>62.5</v>
      </c>
      <c r="V42" s="6">
        <f t="shared" si="1"/>
        <v>0</v>
      </c>
    </row>
    <row r="43" spans="1:22">
      <c r="A43" s="1"/>
    </row>
    <row r="44" spans="1:22">
      <c r="A44" s="1"/>
      <c r="B44" s="27" t="s">
        <v>61</v>
      </c>
      <c r="D44" s="6">
        <f t="shared" ref="D44:V44" si="2">$D$33*D42*$E$39</f>
        <v>0</v>
      </c>
      <c r="E44" s="6">
        <f t="shared" si="2"/>
        <v>17.375</v>
      </c>
      <c r="F44" s="6">
        <f t="shared" si="2"/>
        <v>34.75</v>
      </c>
      <c r="G44" s="6">
        <f t="shared" si="2"/>
        <v>52.125000000000007</v>
      </c>
      <c r="H44" s="6">
        <f t="shared" si="2"/>
        <v>52.125000000000007</v>
      </c>
      <c r="I44" s="6">
        <f t="shared" si="2"/>
        <v>52.125000000000007</v>
      </c>
      <c r="J44" s="6">
        <f t="shared" si="2"/>
        <v>52.125000000000007</v>
      </c>
      <c r="K44" s="6">
        <f t="shared" si="2"/>
        <v>52.125000000000007</v>
      </c>
      <c r="L44" s="6">
        <f t="shared" si="2"/>
        <v>52.125000000000007</v>
      </c>
      <c r="M44" s="6">
        <f t="shared" si="2"/>
        <v>52.125000000000007</v>
      </c>
      <c r="N44" s="6">
        <f t="shared" si="2"/>
        <v>52.125000000000007</v>
      </c>
      <c r="O44" s="6">
        <f t="shared" si="2"/>
        <v>45.609375000000007</v>
      </c>
      <c r="P44" s="6">
        <f t="shared" si="2"/>
        <v>39.09375</v>
      </c>
      <c r="Q44" s="6">
        <f t="shared" si="2"/>
        <v>32.578125</v>
      </c>
      <c r="R44" s="6">
        <f t="shared" si="2"/>
        <v>26.062500000000004</v>
      </c>
      <c r="S44" s="6">
        <f t="shared" si="2"/>
        <v>19.546875</v>
      </c>
      <c r="T44" s="6">
        <f t="shared" si="2"/>
        <v>13.031250000000002</v>
      </c>
      <c r="U44" s="6">
        <f t="shared" si="2"/>
        <v>6.5156250000000009</v>
      </c>
      <c r="V44" s="6">
        <f t="shared" si="2"/>
        <v>0</v>
      </c>
    </row>
    <row r="45" spans="1:22">
      <c r="A45" s="1"/>
      <c r="B45" s="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>
      <c r="A46" s="1"/>
      <c r="B46" s="27" t="s">
        <v>62</v>
      </c>
      <c r="C46" s="16">
        <f>NPV(D5,D44:V44)</f>
        <v>298.0742267148014</v>
      </c>
    </row>
    <row r="47" spans="1:22">
      <c r="A47" s="1"/>
      <c r="C47" s="7"/>
      <c r="D47" s="13"/>
    </row>
    <row r="48" spans="1:22">
      <c r="A48" s="1"/>
      <c r="B48" s="1" t="s">
        <v>27</v>
      </c>
      <c r="C48" s="15">
        <f>D8+D14*D9+D14*D15*D10</f>
        <v>30.8</v>
      </c>
      <c r="D48" s="13"/>
    </row>
    <row r="49" spans="2:3">
      <c r="C49" s="7"/>
    </row>
    <row r="50" spans="2:3">
      <c r="B50" s="1" t="s">
        <v>28</v>
      </c>
      <c r="C50" s="15">
        <f>C46/C48</f>
        <v>9.6777346335974475</v>
      </c>
    </row>
    <row r="51" spans="2:3">
      <c r="B51" s="1"/>
      <c r="C51" s="15"/>
    </row>
    <row r="52" spans="2:3">
      <c r="B52" s="1"/>
      <c r="C52" s="15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"/>
  <sheetViews>
    <sheetView showFormulas="1" zoomScale="70" zoomScaleNormal="70" workbookViewId="0">
      <selection sqref="A1:V50"/>
    </sheetView>
  </sheetViews>
  <sheetFormatPr defaultRowHeight="12.75"/>
  <cols>
    <col min="1" max="1" width="11" bestFit="1" customWidth="1"/>
    <col min="2" max="2" width="17.140625" bestFit="1" customWidth="1"/>
    <col min="3" max="3" width="13.5703125" customWidth="1"/>
    <col min="4" max="4" width="61.28515625" customWidth="1"/>
    <col min="5" max="5" width="17.7109375" customWidth="1"/>
    <col min="6" max="7" width="8.42578125" customWidth="1"/>
    <col min="8" max="22" width="5.7109375" customWidth="1"/>
  </cols>
  <sheetData>
    <row r="1" spans="1:11">
      <c r="A1" s="1" t="s">
        <v>32</v>
      </c>
      <c r="C1" s="1" t="s">
        <v>15</v>
      </c>
      <c r="I1" s="1"/>
    </row>
    <row r="2" spans="1:11">
      <c r="A2" s="1"/>
      <c r="B2" s="2"/>
      <c r="J2" s="7"/>
      <c r="K2" s="7"/>
    </row>
    <row r="3" spans="1:11">
      <c r="J3" s="7"/>
      <c r="K3" s="7"/>
    </row>
    <row r="4" spans="1:11">
      <c r="A4" s="2" t="s">
        <v>66</v>
      </c>
      <c r="J4" s="7"/>
      <c r="K4" s="7"/>
    </row>
    <row r="5" spans="1:11">
      <c r="A5" s="2"/>
      <c r="B5" s="1" t="s">
        <v>0</v>
      </c>
      <c r="D5" s="3">
        <v>0.1</v>
      </c>
      <c r="J5" s="7"/>
      <c r="K5" s="7"/>
    </row>
    <row r="6" spans="1:11">
      <c r="A6" s="2"/>
    </row>
    <row r="7" spans="1:11">
      <c r="A7" s="2"/>
      <c r="B7" s="1" t="s">
        <v>1</v>
      </c>
    </row>
    <row r="8" spans="1:11">
      <c r="A8" s="2"/>
      <c r="C8" t="s">
        <v>2</v>
      </c>
      <c r="D8" s="4">
        <v>10</v>
      </c>
    </row>
    <row r="9" spans="1:11">
      <c r="A9" s="2"/>
      <c r="C9" t="s">
        <v>3</v>
      </c>
      <c r="D9" s="4">
        <v>40</v>
      </c>
    </row>
    <row r="10" spans="1:11">
      <c r="A10" s="2"/>
      <c r="C10" t="s">
        <v>4</v>
      </c>
      <c r="D10" s="4">
        <v>2</v>
      </c>
    </row>
    <row r="11" spans="1:11">
      <c r="A11" s="2"/>
    </row>
    <row r="12" spans="1:11">
      <c r="A12" s="2"/>
      <c r="B12" s="1" t="s">
        <v>16</v>
      </c>
    </row>
    <row r="13" spans="1:11">
      <c r="A13" s="2"/>
      <c r="C13" s="1" t="s">
        <v>20</v>
      </c>
    </row>
    <row r="14" spans="1:11">
      <c r="A14" s="2"/>
      <c r="C14" t="s">
        <v>2</v>
      </c>
      <c r="D14" s="5">
        <v>0.5</v>
      </c>
      <c r="I14" s="1"/>
    </row>
    <row r="15" spans="1:11">
      <c r="A15" s="2"/>
      <c r="C15" t="s">
        <v>3</v>
      </c>
      <c r="D15" s="5">
        <v>0.8</v>
      </c>
    </row>
    <row r="16" spans="1:11">
      <c r="A16" s="2"/>
      <c r="D16" s="6"/>
    </row>
    <row r="17" spans="1:9">
      <c r="A17" s="2"/>
      <c r="C17" s="1" t="s">
        <v>29</v>
      </c>
      <c r="D17" s="6"/>
      <c r="I17" s="7"/>
    </row>
    <row r="18" spans="1:9">
      <c r="A18" s="2"/>
      <c r="C18" t="s">
        <v>33</v>
      </c>
      <c r="D18" s="8">
        <v>0.9</v>
      </c>
    </row>
    <row r="19" spans="1:9">
      <c r="A19" s="2"/>
      <c r="C19" t="s">
        <v>34</v>
      </c>
      <c r="D19" s="8">
        <v>0.1</v>
      </c>
    </row>
    <row r="20" spans="1:9">
      <c r="A20" s="2"/>
      <c r="C20" t="s">
        <v>30</v>
      </c>
      <c r="D20" s="8">
        <v>0.9</v>
      </c>
    </row>
    <row r="21" spans="1:9">
      <c r="A21" s="2"/>
      <c r="C21" t="s">
        <v>31</v>
      </c>
      <c r="D21" s="8">
        <v>0.5</v>
      </c>
      <c r="H21" s="1"/>
      <c r="I21" t="s">
        <v>5</v>
      </c>
    </row>
    <row r="22" spans="1:9">
      <c r="A22" s="2"/>
      <c r="D22" s="8"/>
      <c r="H22" s="1"/>
    </row>
    <row r="23" spans="1:9">
      <c r="A23" s="2"/>
      <c r="B23" s="1" t="s">
        <v>17</v>
      </c>
      <c r="D23" s="8"/>
      <c r="H23" s="1"/>
    </row>
    <row r="24" spans="1:9">
      <c r="A24" s="2"/>
      <c r="C24" t="s">
        <v>7</v>
      </c>
      <c r="D24" s="4">
        <v>2012</v>
      </c>
      <c r="H24" s="1"/>
    </row>
    <row r="25" spans="1:9">
      <c r="A25" s="2"/>
      <c r="C25" t="s">
        <v>8</v>
      </c>
      <c r="D25" s="4">
        <v>2015</v>
      </c>
      <c r="H25" s="1"/>
    </row>
    <row r="26" spans="1:9">
      <c r="A26" s="2"/>
      <c r="C26" t="s">
        <v>9</v>
      </c>
      <c r="D26" s="4">
        <v>2022</v>
      </c>
      <c r="H26" s="1"/>
    </row>
    <row r="27" spans="1:9">
      <c r="A27" s="2"/>
      <c r="C27" t="s">
        <v>10</v>
      </c>
      <c r="D27" s="4">
        <v>2030</v>
      </c>
      <c r="H27" s="1"/>
    </row>
    <row r="28" spans="1:9">
      <c r="A28" s="2"/>
      <c r="C28" t="s">
        <v>11</v>
      </c>
      <c r="D28" s="4">
        <v>500</v>
      </c>
      <c r="H28" s="1"/>
    </row>
    <row r="29" spans="1:9">
      <c r="A29" s="2"/>
      <c r="C29" t="s">
        <v>12</v>
      </c>
      <c r="D29" s="17">
        <f>(D28-0)/(D25-D24)</f>
        <v>166.66666666666666</v>
      </c>
      <c r="H29" s="1"/>
    </row>
    <row r="30" spans="1:9">
      <c r="A30" s="2"/>
      <c r="C30" t="s">
        <v>13</v>
      </c>
      <c r="D30" s="18">
        <f>(0-D28)/(D27-D26)</f>
        <v>-62.5</v>
      </c>
      <c r="H30" s="1"/>
    </row>
    <row r="31" spans="1:9">
      <c r="A31" s="2"/>
      <c r="D31" s="8"/>
      <c r="H31" s="1"/>
    </row>
    <row r="32" spans="1:9">
      <c r="A32" s="2"/>
      <c r="B32" s="1" t="s">
        <v>18</v>
      </c>
      <c r="C32" s="1"/>
      <c r="H32" s="1"/>
    </row>
    <row r="33" spans="1:22">
      <c r="A33" s="2"/>
      <c r="C33" s="7" t="s">
        <v>14</v>
      </c>
      <c r="D33" s="12">
        <v>0.75</v>
      </c>
      <c r="H33" s="1"/>
    </row>
    <row r="34" spans="1:22">
      <c r="A34" s="2" t="s">
        <v>67</v>
      </c>
      <c r="D34" s="8"/>
      <c r="H34" s="1"/>
    </row>
    <row r="35" spans="1:22">
      <c r="A35" s="2"/>
      <c r="B35" s="1" t="s">
        <v>21</v>
      </c>
      <c r="E35" s="7" t="s">
        <v>6</v>
      </c>
      <c r="H35" s="1"/>
    </row>
    <row r="36" spans="1:22">
      <c r="A36" s="2"/>
      <c r="C36" t="s">
        <v>22</v>
      </c>
      <c r="D36" s="14">
        <f>(1-D14)+D14*(1-D15)+D14*D15*D18*D20*D21</f>
        <v>0.76200000000000001</v>
      </c>
      <c r="E36" s="15">
        <v>0</v>
      </c>
      <c r="H36" s="1"/>
    </row>
    <row r="37" spans="1:22">
      <c r="A37" s="2"/>
      <c r="C37" t="s">
        <v>23</v>
      </c>
      <c r="D37" s="14">
        <f>D14*D15*D18*(D20*(1-D21)+(1-D20))</f>
        <v>0.19800000000000004</v>
      </c>
      <c r="E37" s="15">
        <v>0.5</v>
      </c>
      <c r="H37" s="1"/>
    </row>
    <row r="38" spans="1:22">
      <c r="A38" s="2"/>
      <c r="C38" t="s">
        <v>24</v>
      </c>
      <c r="D38" s="14">
        <f>D14*D15*(1-D18)</f>
        <v>3.9999999999999994E-2</v>
      </c>
      <c r="E38" s="15">
        <v>1</v>
      </c>
    </row>
    <row r="39" spans="1:22">
      <c r="A39" s="1"/>
      <c r="D39" s="10">
        <f>SUM(D36:D38)</f>
        <v>1</v>
      </c>
      <c r="E39" s="23">
        <f>SUMPRODUCT(D36:D38,E36:E38)</f>
        <v>0.13900000000000001</v>
      </c>
    </row>
    <row r="40" spans="1:22">
      <c r="A40" s="1"/>
      <c r="D40" s="10"/>
      <c r="E40" s="9"/>
    </row>
    <row r="41" spans="1:22" s="1" customFormat="1">
      <c r="D41" s="1">
        <f>D24</f>
        <v>2012</v>
      </c>
      <c r="E41" s="1">
        <f>1+D41</f>
        <v>2013</v>
      </c>
      <c r="F41" s="1">
        <f t="shared" ref="F41:V41" si="0">1+E41</f>
        <v>2014</v>
      </c>
      <c r="G41" s="1">
        <f t="shared" si="0"/>
        <v>2015</v>
      </c>
      <c r="H41" s="1">
        <f t="shared" si="0"/>
        <v>2016</v>
      </c>
      <c r="I41" s="1">
        <f t="shared" si="0"/>
        <v>2017</v>
      </c>
      <c r="J41" s="1">
        <f t="shared" si="0"/>
        <v>2018</v>
      </c>
      <c r="K41" s="1">
        <f t="shared" si="0"/>
        <v>2019</v>
      </c>
      <c r="L41" s="1">
        <f t="shared" si="0"/>
        <v>2020</v>
      </c>
      <c r="M41" s="1">
        <f t="shared" si="0"/>
        <v>2021</v>
      </c>
      <c r="N41" s="1">
        <f t="shared" si="0"/>
        <v>2022</v>
      </c>
      <c r="O41" s="1">
        <f t="shared" si="0"/>
        <v>2023</v>
      </c>
      <c r="P41" s="1">
        <f t="shared" si="0"/>
        <v>2024</v>
      </c>
      <c r="Q41" s="1">
        <f t="shared" si="0"/>
        <v>2025</v>
      </c>
      <c r="R41" s="1">
        <f t="shared" si="0"/>
        <v>2026</v>
      </c>
      <c r="S41" s="1">
        <f t="shared" si="0"/>
        <v>2027</v>
      </c>
      <c r="T41" s="1">
        <f t="shared" si="0"/>
        <v>2028</v>
      </c>
      <c r="U41" s="1">
        <f t="shared" si="0"/>
        <v>2029</v>
      </c>
      <c r="V41" s="1">
        <f t="shared" si="0"/>
        <v>2030</v>
      </c>
    </row>
    <row r="42" spans="1:22">
      <c r="A42" s="1"/>
      <c r="B42" s="1" t="s">
        <v>19</v>
      </c>
      <c r="D42" s="6">
        <f t="shared" ref="D42:V42" si="1">IF(D41&lt;=$D$24,0,IF(D41&lt;=$D$25,($D$29*(D41-$D$41)),IF(D41&lt;=$D$26,$D$28,IF(D41&lt;=$D$27,$D$28-(($D$26-D41)*$D$30),0))))</f>
        <v>0</v>
      </c>
      <c r="E42" s="6">
        <f t="shared" si="1"/>
        <v>166.66666666666666</v>
      </c>
      <c r="F42" s="6">
        <f t="shared" si="1"/>
        <v>333.33333333333331</v>
      </c>
      <c r="G42" s="6">
        <f t="shared" si="1"/>
        <v>500</v>
      </c>
      <c r="H42" s="6">
        <f t="shared" si="1"/>
        <v>500</v>
      </c>
      <c r="I42" s="6">
        <f t="shared" si="1"/>
        <v>500</v>
      </c>
      <c r="J42" s="6">
        <f t="shared" si="1"/>
        <v>500</v>
      </c>
      <c r="K42" s="6">
        <f t="shared" si="1"/>
        <v>500</v>
      </c>
      <c r="L42" s="6">
        <f t="shared" si="1"/>
        <v>500</v>
      </c>
      <c r="M42" s="6">
        <f t="shared" si="1"/>
        <v>500</v>
      </c>
      <c r="N42" s="6">
        <f t="shared" si="1"/>
        <v>500</v>
      </c>
      <c r="O42" s="6">
        <f t="shared" si="1"/>
        <v>437.5</v>
      </c>
      <c r="P42" s="6">
        <f t="shared" si="1"/>
        <v>375</v>
      </c>
      <c r="Q42" s="6">
        <f t="shared" si="1"/>
        <v>312.5</v>
      </c>
      <c r="R42" s="6">
        <f t="shared" si="1"/>
        <v>250</v>
      </c>
      <c r="S42" s="6">
        <f t="shared" si="1"/>
        <v>187.5</v>
      </c>
      <c r="T42" s="6">
        <f t="shared" si="1"/>
        <v>125</v>
      </c>
      <c r="U42" s="6">
        <f t="shared" si="1"/>
        <v>62.5</v>
      </c>
      <c r="V42" s="6">
        <f t="shared" si="1"/>
        <v>0</v>
      </c>
    </row>
    <row r="43" spans="1:22">
      <c r="A43" s="1"/>
    </row>
    <row r="44" spans="1:22">
      <c r="A44" s="1"/>
      <c r="B44" s="27" t="s">
        <v>61</v>
      </c>
      <c r="D44" s="6">
        <f t="shared" ref="D44:V44" si="2">$D$33*D42*$E$39</f>
        <v>0</v>
      </c>
      <c r="E44" s="6">
        <f t="shared" si="2"/>
        <v>17.375</v>
      </c>
      <c r="F44" s="6">
        <f t="shared" si="2"/>
        <v>34.75</v>
      </c>
      <c r="G44" s="6">
        <f t="shared" si="2"/>
        <v>52.125000000000007</v>
      </c>
      <c r="H44" s="6">
        <f t="shared" si="2"/>
        <v>52.125000000000007</v>
      </c>
      <c r="I44" s="6">
        <f t="shared" si="2"/>
        <v>52.125000000000007</v>
      </c>
      <c r="J44" s="6">
        <f t="shared" si="2"/>
        <v>52.125000000000007</v>
      </c>
      <c r="K44" s="6">
        <f t="shared" si="2"/>
        <v>52.125000000000007</v>
      </c>
      <c r="L44" s="6">
        <f t="shared" si="2"/>
        <v>52.125000000000007</v>
      </c>
      <c r="M44" s="6">
        <f t="shared" si="2"/>
        <v>52.125000000000007</v>
      </c>
      <c r="N44" s="6">
        <f t="shared" si="2"/>
        <v>52.125000000000007</v>
      </c>
      <c r="O44" s="6">
        <f t="shared" si="2"/>
        <v>45.609375000000007</v>
      </c>
      <c r="P44" s="6">
        <f t="shared" si="2"/>
        <v>39.09375</v>
      </c>
      <c r="Q44" s="6">
        <f t="shared" si="2"/>
        <v>32.578125</v>
      </c>
      <c r="R44" s="6">
        <f t="shared" si="2"/>
        <v>26.062500000000004</v>
      </c>
      <c r="S44" s="6">
        <f t="shared" si="2"/>
        <v>19.546875</v>
      </c>
      <c r="T44" s="6">
        <f t="shared" si="2"/>
        <v>13.031250000000002</v>
      </c>
      <c r="U44" s="6">
        <f t="shared" si="2"/>
        <v>6.5156250000000009</v>
      </c>
      <c r="V44" s="6">
        <f t="shared" si="2"/>
        <v>0</v>
      </c>
    </row>
    <row r="45" spans="1:22">
      <c r="A45" s="1"/>
      <c r="B45" s="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>
      <c r="A46" s="1"/>
      <c r="B46" s="27" t="s">
        <v>62</v>
      </c>
      <c r="C46" s="16">
        <f>NPV(D5,D44:V44)</f>
        <v>298.0742267148014</v>
      </c>
    </row>
    <row r="47" spans="1:22">
      <c r="A47" s="1"/>
      <c r="C47" s="7"/>
      <c r="D47" s="13"/>
    </row>
    <row r="48" spans="1:22">
      <c r="A48" s="1"/>
      <c r="B48" s="1" t="s">
        <v>27</v>
      </c>
      <c r="C48" s="15">
        <f>D8+D14*D9+D14*D15*D10</f>
        <v>30.8</v>
      </c>
      <c r="D48" s="13"/>
    </row>
    <row r="49" spans="2:3">
      <c r="C49" s="7"/>
    </row>
    <row r="50" spans="2:3">
      <c r="B50" s="1" t="s">
        <v>28</v>
      </c>
      <c r="C50" s="15">
        <f>C46/C48</f>
        <v>9.6777346335974475</v>
      </c>
    </row>
    <row r="51" spans="2:3">
      <c r="B51" s="1"/>
      <c r="C51" s="15"/>
    </row>
    <row r="52" spans="2:3">
      <c r="B52" s="1"/>
      <c r="C52" s="15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="90" zoomScaleNormal="90" workbookViewId="0">
      <selection sqref="A1:U36"/>
    </sheetView>
  </sheetViews>
  <sheetFormatPr defaultRowHeight="12.75"/>
  <cols>
    <col min="2" max="2" width="13.28515625" bestFit="1" customWidth="1"/>
  </cols>
  <sheetData>
    <row r="1" spans="1:21">
      <c r="A1" s="1" t="s">
        <v>17</v>
      </c>
      <c r="C1" s="8"/>
      <c r="G1" s="1"/>
    </row>
    <row r="2" spans="1:21">
      <c r="B2" t="s">
        <v>7</v>
      </c>
      <c r="C2" s="4">
        <v>2012</v>
      </c>
      <c r="G2" s="1"/>
    </row>
    <row r="3" spans="1:21">
      <c r="B3" t="s">
        <v>8</v>
      </c>
      <c r="C3" s="4">
        <v>2015</v>
      </c>
      <c r="G3" s="1"/>
    </row>
    <row r="4" spans="1:21">
      <c r="B4" t="s">
        <v>9</v>
      </c>
      <c r="C4" s="4">
        <v>2022</v>
      </c>
      <c r="G4" s="1"/>
    </row>
    <row r="5" spans="1:21">
      <c r="B5" t="s">
        <v>10</v>
      </c>
      <c r="C5" s="4">
        <v>2030</v>
      </c>
      <c r="G5" s="1"/>
    </row>
    <row r="6" spans="1:21">
      <c r="B6" t="s">
        <v>11</v>
      </c>
      <c r="C6" s="4">
        <v>500</v>
      </c>
      <c r="G6" s="1"/>
    </row>
    <row r="7" spans="1:21">
      <c r="B7" t="s">
        <v>12</v>
      </c>
      <c r="C7" s="17">
        <f>(C6-0)/(C3-C2)</f>
        <v>166.66666666666666</v>
      </c>
      <c r="G7" s="1"/>
    </row>
    <row r="8" spans="1:21">
      <c r="B8" t="s">
        <v>13</v>
      </c>
      <c r="C8" s="18">
        <f>(0-C6)/(C5-C4)</f>
        <v>-62.5</v>
      </c>
      <c r="G8" s="1"/>
    </row>
    <row r="9" spans="1:21">
      <c r="C9" s="10"/>
      <c r="D9" s="9"/>
    </row>
    <row r="10" spans="1:21">
      <c r="A10" s="1"/>
      <c r="B10" s="1"/>
      <c r="C10" s="1">
        <f>C2</f>
        <v>2012</v>
      </c>
      <c r="D10" s="1">
        <f>C10+1</f>
        <v>2013</v>
      </c>
      <c r="E10" s="1">
        <f t="shared" ref="E10:U10" si="0">D10+1</f>
        <v>2014</v>
      </c>
      <c r="F10" s="1">
        <f t="shared" si="0"/>
        <v>2015</v>
      </c>
      <c r="G10" s="1">
        <f t="shared" si="0"/>
        <v>2016</v>
      </c>
      <c r="H10" s="1">
        <f t="shared" si="0"/>
        <v>2017</v>
      </c>
      <c r="I10" s="1">
        <f t="shared" si="0"/>
        <v>2018</v>
      </c>
      <c r="J10" s="1">
        <f t="shared" si="0"/>
        <v>2019</v>
      </c>
      <c r="K10" s="1">
        <f t="shared" si="0"/>
        <v>2020</v>
      </c>
      <c r="L10" s="1">
        <f t="shared" si="0"/>
        <v>2021</v>
      </c>
      <c r="M10" s="1">
        <f t="shared" si="0"/>
        <v>2022</v>
      </c>
      <c r="N10" s="1">
        <f t="shared" si="0"/>
        <v>2023</v>
      </c>
      <c r="O10" s="1">
        <f t="shared" si="0"/>
        <v>2024</v>
      </c>
      <c r="P10" s="1">
        <f t="shared" si="0"/>
        <v>2025</v>
      </c>
      <c r="Q10" s="1">
        <f t="shared" si="0"/>
        <v>2026</v>
      </c>
      <c r="R10" s="1">
        <f t="shared" si="0"/>
        <v>2027</v>
      </c>
      <c r="S10" s="1">
        <f t="shared" si="0"/>
        <v>2028</v>
      </c>
      <c r="T10" s="1">
        <f t="shared" si="0"/>
        <v>2029</v>
      </c>
      <c r="U10" s="1">
        <f t="shared" si="0"/>
        <v>2030</v>
      </c>
    </row>
    <row r="11" spans="1:21">
      <c r="A11" s="1" t="s">
        <v>19</v>
      </c>
      <c r="C11" s="6">
        <f>IF(C10&lt;=$C$2,0,IF(C10&lt;=$C$3,($C$7*(C10-$C$2)),IF(C10&lt;=$C$4,$C$6,IF(C10&lt;=$C$5,$C$6-(($C$4-C10)*$C$8),0))))</f>
        <v>0</v>
      </c>
      <c r="D11" s="6">
        <f t="shared" ref="D11:U11" si="1">IF(D10&lt;=$C$2,0,IF(D10&lt;=$C$3,($C$7*(D10-$C$2)),IF(D10&lt;=$C$4,$C$6,IF(D10&lt;=$C$5,$C$6-(($C$4-D10)*$C$8),0))))</f>
        <v>166.66666666666666</v>
      </c>
      <c r="E11" s="6">
        <f t="shared" si="1"/>
        <v>333.33333333333331</v>
      </c>
      <c r="F11" s="6">
        <f t="shared" si="1"/>
        <v>500</v>
      </c>
      <c r="G11" s="6">
        <f t="shared" si="1"/>
        <v>500</v>
      </c>
      <c r="H11" s="6">
        <f t="shared" si="1"/>
        <v>500</v>
      </c>
      <c r="I11" s="6">
        <f t="shared" si="1"/>
        <v>500</v>
      </c>
      <c r="J11" s="6">
        <f t="shared" si="1"/>
        <v>500</v>
      </c>
      <c r="K11" s="6">
        <f t="shared" si="1"/>
        <v>500</v>
      </c>
      <c r="L11" s="6">
        <f t="shared" si="1"/>
        <v>500</v>
      </c>
      <c r="M11" s="6">
        <f t="shared" si="1"/>
        <v>500</v>
      </c>
      <c r="N11" s="6">
        <f t="shared" si="1"/>
        <v>437.5</v>
      </c>
      <c r="O11" s="6">
        <f t="shared" si="1"/>
        <v>375</v>
      </c>
      <c r="P11" s="6">
        <f t="shared" si="1"/>
        <v>312.5</v>
      </c>
      <c r="Q11" s="6">
        <f t="shared" si="1"/>
        <v>250</v>
      </c>
      <c r="R11" s="6">
        <f t="shared" si="1"/>
        <v>187.5</v>
      </c>
      <c r="S11" s="6">
        <f t="shared" si="1"/>
        <v>125</v>
      </c>
      <c r="T11" s="6">
        <f t="shared" si="1"/>
        <v>62.5</v>
      </c>
      <c r="U11" s="6">
        <f t="shared" si="1"/>
        <v>0</v>
      </c>
    </row>
  </sheetData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N1:V15"/>
  <sheetViews>
    <sheetView workbookViewId="0">
      <selection activeCell="N36" sqref="N36"/>
    </sheetView>
  </sheetViews>
  <sheetFormatPr defaultRowHeight="12.75"/>
  <cols>
    <col min="14" max="14" width="21.140625" bestFit="1" customWidth="1"/>
    <col min="15" max="15" width="7" bestFit="1" customWidth="1"/>
    <col min="16" max="16" width="7.5703125" bestFit="1" customWidth="1"/>
    <col min="17" max="17" width="6.28515625" bestFit="1" customWidth="1"/>
    <col min="18" max="18" width="16.140625" bestFit="1" customWidth="1"/>
    <col min="19" max="19" width="17.7109375" bestFit="1" customWidth="1"/>
    <col min="20" max="20" width="11.7109375" bestFit="1" customWidth="1"/>
    <col min="21" max="22" width="6.5703125" bestFit="1" customWidth="1"/>
  </cols>
  <sheetData>
    <row r="1" spans="14:22">
      <c r="N1" s="21" t="s">
        <v>35</v>
      </c>
      <c r="O1" s="21"/>
      <c r="P1" s="21"/>
      <c r="Q1" s="21"/>
      <c r="R1" s="21"/>
      <c r="S1" s="21" t="s">
        <v>41</v>
      </c>
      <c r="T1" s="21"/>
      <c r="U1" s="21"/>
      <c r="V1" s="21"/>
    </row>
    <row r="2" spans="14:22">
      <c r="N2" s="22" t="s">
        <v>36</v>
      </c>
      <c r="O2" s="22" t="s">
        <v>37</v>
      </c>
      <c r="P2" s="22" t="s">
        <v>38</v>
      </c>
      <c r="Q2" s="22" t="s">
        <v>39</v>
      </c>
      <c r="R2" s="22" t="s">
        <v>40</v>
      </c>
      <c r="S2" s="22" t="s">
        <v>42</v>
      </c>
      <c r="T2" s="22" t="s">
        <v>43</v>
      </c>
      <c r="U2" s="22" t="s">
        <v>44</v>
      </c>
      <c r="V2" s="22" t="s">
        <v>45</v>
      </c>
    </row>
    <row r="3" spans="14:22">
      <c r="N3" s="30" t="s">
        <v>69</v>
      </c>
      <c r="O3" s="15">
        <v>11.494920777028335</v>
      </c>
      <c r="P3" s="15">
        <v>7.8605484901665585</v>
      </c>
      <c r="Q3" s="20">
        <v>3.6343722868617769</v>
      </c>
      <c r="R3" s="20">
        <v>9.6777346335974475</v>
      </c>
      <c r="S3" s="20">
        <v>0.9</v>
      </c>
      <c r="T3" s="20">
        <v>10</v>
      </c>
      <c r="U3" s="20">
        <v>0.81</v>
      </c>
      <c r="V3" s="20">
        <v>0.99</v>
      </c>
    </row>
    <row r="4" spans="14:22">
      <c r="N4" s="20" t="s">
        <v>70</v>
      </c>
      <c r="O4" s="15">
        <v>8.7099611702377011</v>
      </c>
      <c r="P4" s="15">
        <v>10.645508096957194</v>
      </c>
      <c r="Q4" s="20">
        <v>1.9355469267194927</v>
      </c>
      <c r="R4" s="20">
        <v>9.6777346335974475</v>
      </c>
      <c r="S4" s="20">
        <v>500</v>
      </c>
      <c r="T4" s="20">
        <v>10</v>
      </c>
      <c r="U4" s="20">
        <v>450</v>
      </c>
      <c r="V4" s="20">
        <v>550</v>
      </c>
    </row>
    <row r="5" spans="14:22">
      <c r="N5" s="20" t="s">
        <v>68</v>
      </c>
      <c r="O5" s="15">
        <v>8.7099611702377011</v>
      </c>
      <c r="P5" s="15">
        <v>10.645508096957194</v>
      </c>
      <c r="Q5" s="20">
        <v>1.9355469267194927</v>
      </c>
      <c r="R5" s="20">
        <v>9.6777346335974475</v>
      </c>
      <c r="S5" s="20">
        <v>0.75</v>
      </c>
      <c r="T5" s="20">
        <v>10</v>
      </c>
      <c r="U5" s="20">
        <v>0.67500000000000004</v>
      </c>
      <c r="V5" s="20">
        <v>0.82499999999999996</v>
      </c>
    </row>
    <row r="6" spans="14:22">
      <c r="N6" s="30" t="s">
        <v>76</v>
      </c>
      <c r="O6" s="15">
        <v>8.7326433607851932</v>
      </c>
      <c r="P6" s="15">
        <v>10.61792906043658</v>
      </c>
      <c r="Q6" s="20">
        <v>1.8852856996513871</v>
      </c>
      <c r="R6" s="20">
        <v>9.6777346335974475</v>
      </c>
      <c r="S6" s="20">
        <v>0.8</v>
      </c>
      <c r="T6" s="20">
        <v>10</v>
      </c>
      <c r="U6" s="20">
        <v>0.72</v>
      </c>
      <c r="V6" s="20">
        <v>0.88</v>
      </c>
    </row>
    <row r="7" spans="14:22">
      <c r="N7" s="20" t="s">
        <v>71</v>
      </c>
      <c r="O7" s="15">
        <v>10.370824648974498</v>
      </c>
      <c r="P7" s="15">
        <v>9.046849178676144</v>
      </c>
      <c r="Q7" s="20">
        <v>1.3239754702983539</v>
      </c>
      <c r="R7" s="20">
        <v>9.6777346335974475</v>
      </c>
      <c r="S7" s="20">
        <v>0.1</v>
      </c>
      <c r="T7" s="20">
        <v>10</v>
      </c>
      <c r="U7" s="20">
        <v>0.09</v>
      </c>
      <c r="V7" s="20">
        <v>0.11</v>
      </c>
    </row>
    <row r="8" spans="14:22">
      <c r="N8" s="30" t="s">
        <v>77</v>
      </c>
      <c r="O8" s="15">
        <v>10.349799538708382</v>
      </c>
      <c r="P8" s="15">
        <v>9.0876288632561408</v>
      </c>
      <c r="Q8" s="20">
        <v>1.262170675452241</v>
      </c>
      <c r="R8" s="20">
        <v>9.6777346335974475</v>
      </c>
      <c r="S8" s="20">
        <v>40</v>
      </c>
      <c r="T8" s="20">
        <v>10</v>
      </c>
      <c r="U8" s="20">
        <v>36</v>
      </c>
      <c r="V8" s="20">
        <v>44</v>
      </c>
    </row>
    <row r="9" spans="14:22">
      <c r="N9" s="20" t="s">
        <v>72</v>
      </c>
      <c r="O9" s="15">
        <v>10.241688953972552</v>
      </c>
      <c r="P9" s="15">
        <v>9.1137803132223425</v>
      </c>
      <c r="Q9" s="20">
        <v>1.1279086407502099</v>
      </c>
      <c r="R9" s="20">
        <v>9.6777346335974475</v>
      </c>
      <c r="S9" s="20">
        <v>0.5</v>
      </c>
      <c r="T9" s="20">
        <v>10</v>
      </c>
      <c r="U9" s="20">
        <v>0.45</v>
      </c>
      <c r="V9" s="20">
        <v>0.55000000000000004</v>
      </c>
    </row>
    <row r="10" spans="14:22">
      <c r="N10" s="20" t="s">
        <v>73</v>
      </c>
      <c r="O10" s="15">
        <v>10.241688953972552</v>
      </c>
      <c r="P10" s="15">
        <v>9.1137803132223443</v>
      </c>
      <c r="Q10" s="20">
        <v>1.1279086407502081</v>
      </c>
      <c r="R10" s="20">
        <v>9.6777346335974475</v>
      </c>
      <c r="S10" s="20">
        <v>0.9</v>
      </c>
      <c r="T10" s="20">
        <v>10</v>
      </c>
      <c r="U10" s="20">
        <v>0.81</v>
      </c>
      <c r="V10" s="20">
        <v>0.99</v>
      </c>
    </row>
    <row r="11" spans="14:22">
      <c r="N11" s="30" t="s">
        <v>78</v>
      </c>
      <c r="O11" s="15">
        <v>9.3407661574972582</v>
      </c>
      <c r="P11" s="15">
        <v>9.9720696285365449</v>
      </c>
      <c r="Q11" s="20">
        <v>0.63130347103928663</v>
      </c>
      <c r="R11" s="20">
        <v>9.6777346335974475</v>
      </c>
      <c r="S11" s="20">
        <v>0.5</v>
      </c>
      <c r="T11" s="20">
        <v>10</v>
      </c>
      <c r="U11" s="20">
        <v>0.45</v>
      </c>
      <c r="V11" s="20">
        <v>0.55000000000000004</v>
      </c>
    </row>
    <row r="12" spans="14:22">
      <c r="N12" s="30" t="s">
        <v>79</v>
      </c>
      <c r="O12" s="15">
        <v>10.002490829355752</v>
      </c>
      <c r="P12" s="15">
        <v>9.3734033558113641</v>
      </c>
      <c r="Q12" s="20">
        <v>0.62908747354438788</v>
      </c>
      <c r="R12" s="20">
        <v>9.6777346335974475</v>
      </c>
      <c r="S12" s="20">
        <v>10</v>
      </c>
      <c r="T12" s="20">
        <v>10</v>
      </c>
      <c r="U12" s="20">
        <v>9</v>
      </c>
      <c r="V12" s="20">
        <v>11</v>
      </c>
    </row>
    <row r="13" spans="14:22">
      <c r="N13" s="30" t="s">
        <v>74</v>
      </c>
      <c r="O13" s="15">
        <v>9.7029370675391089</v>
      </c>
      <c r="P13" s="15">
        <v>9.6526627822150708</v>
      </c>
      <c r="Q13" s="20">
        <v>5.0274285324038104E-2</v>
      </c>
      <c r="R13" s="20">
        <v>9.6777346335974475</v>
      </c>
      <c r="S13" s="20">
        <v>2</v>
      </c>
      <c r="T13" s="20">
        <v>10</v>
      </c>
      <c r="U13" s="20">
        <v>1.8</v>
      </c>
      <c r="V13" s="20">
        <v>2.2000000000000002</v>
      </c>
    </row>
    <row r="14" spans="14:22">
      <c r="N14" s="30" t="s">
        <v>75</v>
      </c>
      <c r="O14" s="15">
        <v>9.6777346335974475</v>
      </c>
      <c r="P14" s="15">
        <v>9.6777346335974475</v>
      </c>
      <c r="Q14" s="20">
        <v>0</v>
      </c>
      <c r="R14" s="20">
        <v>9.6777346335974475</v>
      </c>
      <c r="S14" s="20">
        <v>0.1</v>
      </c>
      <c r="T14" s="20">
        <v>10</v>
      </c>
      <c r="U14" s="20">
        <v>0.09</v>
      </c>
      <c r="V14" s="20">
        <v>0.11</v>
      </c>
    </row>
    <row r="15" spans="14:22">
      <c r="N15" s="7"/>
      <c r="O15" s="7"/>
      <c r="P15" s="7"/>
      <c r="Q15" s="7"/>
      <c r="R15" s="7"/>
      <c r="S15" s="7"/>
      <c r="T15" s="7"/>
      <c r="U15" s="7"/>
      <c r="V15" s="7"/>
    </row>
  </sheetData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B22"/>
  <sheetViews>
    <sheetView workbookViewId="0">
      <selection activeCell="A2" sqref="A2:A22"/>
    </sheetView>
  </sheetViews>
  <sheetFormatPr defaultRowHeight="12.75"/>
  <cols>
    <col min="1" max="1" width="14" customWidth="1"/>
    <col min="2" max="2" width="18.85546875" customWidth="1"/>
  </cols>
  <sheetData>
    <row r="1" spans="1:2">
      <c r="A1" s="1" t="s">
        <v>46</v>
      </c>
      <c r="B1" s="27" t="s">
        <v>63</v>
      </c>
    </row>
    <row r="2" spans="1:2">
      <c r="A2" s="45">
        <v>0</v>
      </c>
      <c r="B2" s="26">
        <v>15.317277837348474</v>
      </c>
    </row>
    <row r="3" spans="1:2">
      <c r="A3" s="45">
        <v>0.05</v>
      </c>
      <c r="B3" s="26">
        <v>14.551413945481048</v>
      </c>
    </row>
    <row r="4" spans="1:2">
      <c r="A4" s="45">
        <v>0.1</v>
      </c>
      <c r="B4" s="26">
        <v>13.785550053613628</v>
      </c>
    </row>
    <row r="5" spans="1:2">
      <c r="A5" s="45">
        <v>0.15</v>
      </c>
      <c r="B5" s="26">
        <v>13.019686161746202</v>
      </c>
    </row>
    <row r="6" spans="1:2">
      <c r="A6" s="45">
        <v>0.2</v>
      </c>
      <c r="B6" s="26">
        <v>12.253822269878778</v>
      </c>
    </row>
    <row r="7" spans="1:2">
      <c r="A7" s="45">
        <v>0.25</v>
      </c>
      <c r="B7" s="26">
        <v>11.487958378011356</v>
      </c>
    </row>
    <row r="8" spans="1:2">
      <c r="A8" s="45">
        <v>0.3</v>
      </c>
      <c r="B8" s="26">
        <v>10.722094486143931</v>
      </c>
    </row>
    <row r="9" spans="1:2">
      <c r="A9" s="45">
        <v>0.35</v>
      </c>
      <c r="B9" s="26">
        <v>9.9562305942765068</v>
      </c>
    </row>
    <row r="10" spans="1:2">
      <c r="A10" s="46">
        <v>0.4</v>
      </c>
      <c r="B10" s="25">
        <v>9.1903667024090847</v>
      </c>
    </row>
    <row r="11" spans="1:2">
      <c r="A11" s="46">
        <v>0.45</v>
      </c>
      <c r="B11" s="25">
        <v>8.4245028105416608</v>
      </c>
    </row>
    <row r="12" spans="1:2">
      <c r="A12" s="46">
        <v>0.5</v>
      </c>
      <c r="B12" s="25">
        <v>7.658638918674237</v>
      </c>
    </row>
    <row r="13" spans="1:2">
      <c r="A13" s="46">
        <v>0.55000000000000004</v>
      </c>
      <c r="B13" s="25">
        <v>6.8927750268068131</v>
      </c>
    </row>
    <row r="14" spans="1:2">
      <c r="A14" s="46">
        <v>0.6</v>
      </c>
      <c r="B14" s="25">
        <v>6.1269111349393892</v>
      </c>
    </row>
    <row r="15" spans="1:2">
      <c r="A15" s="46">
        <v>0.65</v>
      </c>
      <c r="B15" s="25">
        <v>5.3610472430719653</v>
      </c>
    </row>
    <row r="16" spans="1:2">
      <c r="A16" s="46">
        <v>0.7</v>
      </c>
      <c r="B16" s="25">
        <v>4.5951833512045432</v>
      </c>
    </row>
    <row r="17" spans="1:2">
      <c r="A17" s="46">
        <v>0.75</v>
      </c>
      <c r="B17" s="25">
        <v>3.8293194593371185</v>
      </c>
    </row>
    <row r="18" spans="1:2">
      <c r="A18" s="46">
        <v>0.8</v>
      </c>
      <c r="B18" s="25">
        <v>3.0634555674696942</v>
      </c>
    </row>
    <row r="19" spans="1:2">
      <c r="A19" s="46">
        <v>0.85</v>
      </c>
      <c r="B19" s="25">
        <v>2.2975916756022716</v>
      </c>
    </row>
    <row r="20" spans="1:2">
      <c r="A20" s="46">
        <v>0.9</v>
      </c>
      <c r="B20" s="25">
        <v>1.5317277837348471</v>
      </c>
    </row>
    <row r="21" spans="1:2">
      <c r="A21" s="46">
        <v>0.95</v>
      </c>
      <c r="B21" s="25">
        <v>0.76586389186742443</v>
      </c>
    </row>
    <row r="22" spans="1:2">
      <c r="A22" s="46">
        <v>1</v>
      </c>
      <c r="B22" s="25">
        <v>0</v>
      </c>
    </row>
  </sheetData>
  <phoneticPr fontId="5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V55"/>
  <sheetViews>
    <sheetView zoomScale="70" zoomScaleNormal="70" workbookViewId="0">
      <selection sqref="A1:V42"/>
    </sheetView>
  </sheetViews>
  <sheetFormatPr defaultRowHeight="12.75"/>
  <cols>
    <col min="1" max="1" width="16.140625" customWidth="1"/>
    <col min="2" max="2" width="22.5703125" customWidth="1"/>
    <col min="3" max="3" width="20.28515625" customWidth="1"/>
    <col min="7" max="7" width="19.28515625" customWidth="1"/>
    <col min="8" max="8" width="10.5703125" bestFit="1" customWidth="1"/>
    <col min="9" max="9" width="11.5703125" bestFit="1" customWidth="1"/>
  </cols>
  <sheetData>
    <row r="1" spans="1:9">
      <c r="A1" s="27" t="s">
        <v>32</v>
      </c>
      <c r="C1" s="27" t="s">
        <v>47</v>
      </c>
      <c r="I1" s="1"/>
    </row>
    <row r="2" spans="1:9">
      <c r="A2" s="1"/>
      <c r="B2" s="2"/>
    </row>
    <row r="3" spans="1:9" ht="13.5" thickBot="1"/>
    <row r="4" spans="1:9">
      <c r="A4" s="2" t="s">
        <v>66</v>
      </c>
      <c r="G4" s="47" t="s">
        <v>48</v>
      </c>
      <c r="H4" s="63" t="s">
        <v>49</v>
      </c>
      <c r="I4" s="64"/>
    </row>
    <row r="5" spans="1:9" ht="13.5" thickBot="1">
      <c r="A5" s="2"/>
      <c r="B5" s="1" t="s">
        <v>0</v>
      </c>
      <c r="D5" s="45">
        <v>0.1</v>
      </c>
      <c r="G5" s="60">
        <v>1</v>
      </c>
      <c r="H5" s="57">
        <v>1</v>
      </c>
      <c r="I5" s="58">
        <v>2</v>
      </c>
    </row>
    <row r="6" spans="1:9">
      <c r="A6" s="2"/>
      <c r="D6" s="7"/>
      <c r="G6" s="48"/>
      <c r="H6" s="49" t="s">
        <v>50</v>
      </c>
      <c r="I6" s="50" t="s">
        <v>50</v>
      </c>
    </row>
    <row r="7" spans="1:9">
      <c r="A7" s="2"/>
      <c r="B7" s="1" t="s">
        <v>1</v>
      </c>
      <c r="D7" s="7"/>
      <c r="G7" s="48"/>
      <c r="H7" s="49" t="s">
        <v>51</v>
      </c>
      <c r="I7" s="50" t="s">
        <v>52</v>
      </c>
    </row>
    <row r="8" spans="1:9">
      <c r="A8" s="2"/>
      <c r="C8" t="s">
        <v>2</v>
      </c>
      <c r="D8" s="1">
        <v>10</v>
      </c>
      <c r="G8" s="51" t="s">
        <v>53</v>
      </c>
      <c r="H8" s="52">
        <f>D14*D15</f>
        <v>0.4</v>
      </c>
      <c r="I8" s="53">
        <f>D14*D15+D14*(1-D15)*D19+(1-D14)*D19</f>
        <v>0.46</v>
      </c>
    </row>
    <row r="9" spans="1:9" ht="13.5" thickBot="1">
      <c r="A9" s="2"/>
      <c r="C9" t="s">
        <v>3</v>
      </c>
      <c r="D9" s="1">
        <v>40</v>
      </c>
      <c r="G9" s="54" t="s">
        <v>54</v>
      </c>
      <c r="H9" s="55">
        <f>D8+D14*D9+D14*D15*D10</f>
        <v>30.8</v>
      </c>
      <c r="I9" s="56">
        <f>2*D8+2*D9*D14+D10*I8</f>
        <v>60.92</v>
      </c>
    </row>
    <row r="10" spans="1:9">
      <c r="A10" s="2"/>
      <c r="C10" t="s">
        <v>4</v>
      </c>
      <c r="D10" s="1">
        <v>2</v>
      </c>
    </row>
    <row r="11" spans="1:9">
      <c r="A11" s="2"/>
      <c r="D11" s="7"/>
      <c r="G11" s="27"/>
    </row>
    <row r="12" spans="1:9">
      <c r="A12" s="2"/>
      <c r="B12" s="1" t="s">
        <v>16</v>
      </c>
      <c r="D12" s="7"/>
      <c r="G12" s="19"/>
      <c r="H12" s="24"/>
    </row>
    <row r="13" spans="1:9">
      <c r="A13" s="2"/>
      <c r="C13" s="1" t="s">
        <v>20</v>
      </c>
      <c r="D13" s="7"/>
      <c r="G13" s="27"/>
      <c r="H13" s="24"/>
    </row>
    <row r="14" spans="1:9">
      <c r="A14" s="2"/>
      <c r="C14" t="s">
        <v>2</v>
      </c>
      <c r="D14" s="26">
        <v>0.5</v>
      </c>
      <c r="G14" s="1"/>
      <c r="H14" s="24"/>
      <c r="I14" s="1"/>
    </row>
    <row r="15" spans="1:9">
      <c r="A15" s="2"/>
      <c r="C15" t="s">
        <v>3</v>
      </c>
      <c r="D15" s="26">
        <v>0.8</v>
      </c>
      <c r="G15" s="1"/>
      <c r="H15" s="11"/>
    </row>
    <row r="16" spans="1:9">
      <c r="A16" s="2"/>
      <c r="D16" s="44"/>
    </row>
    <row r="17" spans="1:9">
      <c r="A17" s="2"/>
      <c r="C17" s="1" t="s">
        <v>29</v>
      </c>
      <c r="D17" s="44"/>
      <c r="I17" s="7"/>
    </row>
    <row r="18" spans="1:9">
      <c r="A18" s="2"/>
      <c r="C18" t="s">
        <v>33</v>
      </c>
      <c r="D18" s="26">
        <v>0.9</v>
      </c>
    </row>
    <row r="19" spans="1:9">
      <c r="A19" s="2"/>
      <c r="C19" t="s">
        <v>34</v>
      </c>
      <c r="D19" s="26">
        <v>0.1</v>
      </c>
    </row>
    <row r="20" spans="1:9">
      <c r="A20" s="2"/>
      <c r="D20" s="26"/>
    </row>
    <row r="21" spans="1:9">
      <c r="A21" s="2"/>
      <c r="B21" s="1" t="s">
        <v>17</v>
      </c>
      <c r="D21" s="26"/>
      <c r="H21" s="1"/>
    </row>
    <row r="22" spans="1:9">
      <c r="A22" s="2"/>
      <c r="C22" t="s">
        <v>7</v>
      </c>
      <c r="D22" s="1">
        <v>2012</v>
      </c>
    </row>
    <row r="23" spans="1:9">
      <c r="A23" s="2"/>
      <c r="C23" t="s">
        <v>8</v>
      </c>
      <c r="D23" s="1">
        <v>2015</v>
      </c>
    </row>
    <row r="24" spans="1:9">
      <c r="A24" s="2"/>
      <c r="C24" t="s">
        <v>9</v>
      </c>
      <c r="D24" s="1">
        <v>2022</v>
      </c>
    </row>
    <row r="25" spans="1:9">
      <c r="A25" s="2"/>
      <c r="C25" t="s">
        <v>10</v>
      </c>
      <c r="D25" s="1">
        <v>2030</v>
      </c>
    </row>
    <row r="26" spans="1:9">
      <c r="A26" s="2"/>
      <c r="C26" t="s">
        <v>11</v>
      </c>
      <c r="D26" s="1">
        <v>500</v>
      </c>
      <c r="H26" s="1"/>
    </row>
    <row r="27" spans="1:9">
      <c r="A27" s="2"/>
      <c r="C27" t="s">
        <v>12</v>
      </c>
      <c r="D27" s="15">
        <f>(D26-0)/(D23-D22)</f>
        <v>166.66666666666666</v>
      </c>
      <c r="H27" s="1"/>
    </row>
    <row r="28" spans="1:9">
      <c r="A28" s="2"/>
      <c r="C28" t="s">
        <v>13</v>
      </c>
      <c r="D28" s="7">
        <f>(0-D26)/(D25-D24)</f>
        <v>-62.5</v>
      </c>
      <c r="H28" s="1"/>
    </row>
    <row r="29" spans="1:9">
      <c r="A29" s="2"/>
      <c r="D29" s="26"/>
      <c r="H29" s="1"/>
    </row>
    <row r="30" spans="1:9">
      <c r="A30" s="2"/>
      <c r="B30" s="1" t="s">
        <v>18</v>
      </c>
      <c r="C30" s="1"/>
      <c r="D30" s="7"/>
      <c r="H30" s="1"/>
    </row>
    <row r="31" spans="1:9">
      <c r="A31" s="2"/>
      <c r="C31" s="7" t="s">
        <v>14</v>
      </c>
      <c r="D31" s="59">
        <v>0.75</v>
      </c>
      <c r="H31" s="1"/>
    </row>
    <row r="32" spans="1:9">
      <c r="A32" s="2" t="s">
        <v>67</v>
      </c>
      <c r="D32" s="8"/>
      <c r="H32" s="1"/>
    </row>
    <row r="33" spans="1:22" s="1" customFormat="1">
      <c r="D33" s="1">
        <f>D22</f>
        <v>2012</v>
      </c>
      <c r="E33" s="1">
        <f>D33+1</f>
        <v>2013</v>
      </c>
      <c r="F33" s="1">
        <f t="shared" ref="F33:V33" si="0">E33+1</f>
        <v>2014</v>
      </c>
      <c r="G33" s="1">
        <f t="shared" si="0"/>
        <v>2015</v>
      </c>
      <c r="H33" s="1">
        <f t="shared" si="0"/>
        <v>2016</v>
      </c>
      <c r="I33" s="1">
        <f t="shared" si="0"/>
        <v>2017</v>
      </c>
      <c r="J33" s="1">
        <f t="shared" si="0"/>
        <v>2018</v>
      </c>
      <c r="K33" s="1">
        <f t="shared" si="0"/>
        <v>2019</v>
      </c>
      <c r="L33" s="1">
        <f t="shared" si="0"/>
        <v>2020</v>
      </c>
      <c r="M33" s="1">
        <f t="shared" si="0"/>
        <v>2021</v>
      </c>
      <c r="N33" s="1">
        <f t="shared" si="0"/>
        <v>2022</v>
      </c>
      <c r="O33" s="1">
        <f t="shared" si="0"/>
        <v>2023</v>
      </c>
      <c r="P33" s="1">
        <f t="shared" si="0"/>
        <v>2024</v>
      </c>
      <c r="Q33" s="1">
        <f t="shared" si="0"/>
        <v>2025</v>
      </c>
      <c r="R33" s="1">
        <f t="shared" si="0"/>
        <v>2026</v>
      </c>
      <c r="S33" s="1">
        <f t="shared" si="0"/>
        <v>2027</v>
      </c>
      <c r="T33" s="1">
        <f t="shared" si="0"/>
        <v>2028</v>
      </c>
      <c r="U33" s="1">
        <f t="shared" si="0"/>
        <v>2029</v>
      </c>
      <c r="V33" s="1">
        <f t="shared" si="0"/>
        <v>2030</v>
      </c>
    </row>
    <row r="34" spans="1:22">
      <c r="A34" s="1"/>
      <c r="B34" s="1" t="s">
        <v>19</v>
      </c>
      <c r="D34" s="6">
        <f t="shared" ref="D34:V34" si="1">IF(D33&lt;=$D$22,0,IF(D33&lt;=$D$23,($D$27*(D33-$D$33)),IF(D33&lt;=$D$24,$D$26,IF(D33&lt;=$D$25,$D$26-(($D$24-D33)*$D$28),0))))</f>
        <v>0</v>
      </c>
      <c r="E34" s="6">
        <f t="shared" si="1"/>
        <v>166.66666666666666</v>
      </c>
      <c r="F34" s="6">
        <f t="shared" si="1"/>
        <v>333.33333333333331</v>
      </c>
      <c r="G34" s="6">
        <f t="shared" si="1"/>
        <v>500</v>
      </c>
      <c r="H34" s="6">
        <f t="shared" si="1"/>
        <v>500</v>
      </c>
      <c r="I34" s="6">
        <f t="shared" si="1"/>
        <v>500</v>
      </c>
      <c r="J34" s="6">
        <f t="shared" si="1"/>
        <v>500</v>
      </c>
      <c r="K34" s="6">
        <f t="shared" si="1"/>
        <v>500</v>
      </c>
      <c r="L34" s="6">
        <f t="shared" si="1"/>
        <v>500</v>
      </c>
      <c r="M34" s="6">
        <f t="shared" si="1"/>
        <v>500</v>
      </c>
      <c r="N34" s="6">
        <f t="shared" si="1"/>
        <v>500</v>
      </c>
      <c r="O34" s="6">
        <f t="shared" si="1"/>
        <v>437.5</v>
      </c>
      <c r="P34" s="6">
        <f t="shared" si="1"/>
        <v>375</v>
      </c>
      <c r="Q34" s="6">
        <f t="shared" si="1"/>
        <v>312.5</v>
      </c>
      <c r="R34" s="6">
        <f t="shared" si="1"/>
        <v>250</v>
      </c>
      <c r="S34" s="6">
        <f t="shared" si="1"/>
        <v>187.5</v>
      </c>
      <c r="T34" s="6">
        <f t="shared" si="1"/>
        <v>125</v>
      </c>
      <c r="U34" s="6">
        <f t="shared" si="1"/>
        <v>62.5</v>
      </c>
      <c r="V34" s="6">
        <f t="shared" si="1"/>
        <v>0</v>
      </c>
    </row>
    <row r="35" spans="1:22">
      <c r="A35" s="1"/>
    </row>
    <row r="36" spans="1:22">
      <c r="A36" s="1"/>
      <c r="B36" s="27" t="s">
        <v>64</v>
      </c>
      <c r="D36" s="6">
        <f>$D$31*D34*INDEX($H$8:$I$8,$G$5)</f>
        <v>0</v>
      </c>
      <c r="E36" s="6">
        <f t="shared" ref="E36:V36" si="2">$D$31*E34*INDEX($H$8:$I$8,$G$5)</f>
        <v>50</v>
      </c>
      <c r="F36" s="6">
        <f t="shared" si="2"/>
        <v>100</v>
      </c>
      <c r="G36" s="6">
        <f t="shared" si="2"/>
        <v>150</v>
      </c>
      <c r="H36" s="6">
        <f t="shared" si="2"/>
        <v>150</v>
      </c>
      <c r="I36" s="6">
        <f t="shared" si="2"/>
        <v>150</v>
      </c>
      <c r="J36" s="6">
        <f t="shared" si="2"/>
        <v>150</v>
      </c>
      <c r="K36" s="6">
        <f t="shared" si="2"/>
        <v>150</v>
      </c>
      <c r="L36" s="6">
        <f t="shared" si="2"/>
        <v>150</v>
      </c>
      <c r="M36" s="6">
        <f t="shared" si="2"/>
        <v>150</v>
      </c>
      <c r="N36" s="6">
        <f t="shared" si="2"/>
        <v>150</v>
      </c>
      <c r="O36" s="6">
        <f t="shared" si="2"/>
        <v>131.25</v>
      </c>
      <c r="P36" s="6">
        <f t="shared" si="2"/>
        <v>112.5</v>
      </c>
      <c r="Q36" s="6">
        <f t="shared" si="2"/>
        <v>93.75</v>
      </c>
      <c r="R36" s="6">
        <f t="shared" si="2"/>
        <v>75</v>
      </c>
      <c r="S36" s="6">
        <f t="shared" si="2"/>
        <v>56.25</v>
      </c>
      <c r="T36" s="6">
        <f t="shared" si="2"/>
        <v>37.5</v>
      </c>
      <c r="U36" s="6">
        <f t="shared" si="2"/>
        <v>18.75</v>
      </c>
      <c r="V36" s="6">
        <f t="shared" si="2"/>
        <v>0</v>
      </c>
    </row>
    <row r="37" spans="1:22">
      <c r="A37" s="1"/>
    </row>
    <row r="38" spans="1:22">
      <c r="A38" s="1"/>
      <c r="B38" s="27" t="s">
        <v>65</v>
      </c>
      <c r="C38" s="16">
        <f>NPV(D5,D36:V36)</f>
        <v>857.76755889151445</v>
      </c>
    </row>
    <row r="39" spans="1:22">
      <c r="A39" s="1"/>
      <c r="C39" s="7"/>
      <c r="D39" s="13"/>
    </row>
    <row r="40" spans="1:22">
      <c r="A40" s="1"/>
      <c r="B40" s="27" t="s">
        <v>55</v>
      </c>
      <c r="C40" s="15">
        <f>INDEX(H9:I9,G5)</f>
        <v>30.8</v>
      </c>
      <c r="D40" s="13"/>
    </row>
    <row r="41" spans="1:22">
      <c r="C41" s="7"/>
    </row>
    <row r="42" spans="1:22">
      <c r="B42" s="27" t="s">
        <v>56</v>
      </c>
      <c r="C42" s="15">
        <f>C38/C40</f>
        <v>27.849596067906312</v>
      </c>
    </row>
    <row r="45" spans="1:22">
      <c r="B45" s="1"/>
    </row>
    <row r="46" spans="1:22">
      <c r="B46" s="1"/>
      <c r="C46" s="28"/>
    </row>
    <row r="47" spans="1:22">
      <c r="B47" s="1"/>
      <c r="C47" s="25"/>
    </row>
    <row r="48" spans="1:22">
      <c r="B48" s="1"/>
      <c r="C48" s="25"/>
    </row>
    <row r="49" spans="2:3">
      <c r="B49" s="1"/>
    </row>
    <row r="50" spans="2:3">
      <c r="B50" s="27"/>
    </row>
    <row r="51" spans="2:3">
      <c r="B51" s="1"/>
      <c r="C51" s="28"/>
    </row>
    <row r="52" spans="2:3">
      <c r="B52" s="1"/>
      <c r="C52" s="25"/>
    </row>
    <row r="53" spans="2:3">
      <c r="B53" s="1"/>
      <c r="C53" s="29"/>
    </row>
    <row r="54" spans="2:3">
      <c r="B54" s="1"/>
    </row>
    <row r="55" spans="2:3">
      <c r="B55" s="1"/>
    </row>
  </sheetData>
  <mergeCells count="1">
    <mergeCell ref="H4:I4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5"/>
  <sheetViews>
    <sheetView showFormulas="1" zoomScale="70" zoomScaleNormal="70" workbookViewId="0">
      <selection sqref="A1:I43"/>
    </sheetView>
  </sheetViews>
  <sheetFormatPr defaultRowHeight="12.75"/>
  <cols>
    <col min="1" max="1" width="9.7109375" bestFit="1" customWidth="1"/>
    <col min="2" max="2" width="13.85546875" bestFit="1" customWidth="1"/>
    <col min="3" max="3" width="12.5703125" bestFit="1" customWidth="1"/>
    <col min="4" max="4" width="60.28515625" bestFit="1" customWidth="1"/>
    <col min="6" max="6" width="18.28515625" customWidth="1"/>
    <col min="7" max="7" width="18" customWidth="1"/>
    <col min="8" max="8" width="18.140625" customWidth="1"/>
    <col min="9" max="9" width="18.5703125" customWidth="1"/>
  </cols>
  <sheetData>
    <row r="1" spans="1:9">
      <c r="A1" s="27" t="s">
        <v>32</v>
      </c>
      <c r="C1" s="27" t="s">
        <v>47</v>
      </c>
      <c r="I1" s="1"/>
    </row>
    <row r="2" spans="1:9">
      <c r="A2" s="1"/>
      <c r="B2" s="2"/>
    </row>
    <row r="3" spans="1:9" ht="13.5" thickBot="1"/>
    <row r="4" spans="1:9">
      <c r="A4" s="2" t="s">
        <v>66</v>
      </c>
      <c r="G4" s="47" t="s">
        <v>48</v>
      </c>
      <c r="H4" s="63" t="s">
        <v>49</v>
      </c>
      <c r="I4" s="64"/>
    </row>
    <row r="5" spans="1:9" ht="13.5" thickBot="1">
      <c r="A5" s="2"/>
      <c r="B5" s="1" t="s">
        <v>0</v>
      </c>
      <c r="D5" s="45">
        <v>0.1</v>
      </c>
      <c r="G5" s="60">
        <v>1</v>
      </c>
      <c r="H5" s="57">
        <v>1</v>
      </c>
      <c r="I5" s="58">
        <v>2</v>
      </c>
    </row>
    <row r="6" spans="1:9">
      <c r="A6" s="2"/>
      <c r="D6" s="7"/>
      <c r="G6" s="48"/>
      <c r="H6" s="49" t="s">
        <v>50</v>
      </c>
      <c r="I6" s="50" t="s">
        <v>50</v>
      </c>
    </row>
    <row r="7" spans="1:9">
      <c r="A7" s="2"/>
      <c r="B7" s="1" t="s">
        <v>1</v>
      </c>
      <c r="D7" s="7"/>
      <c r="G7" s="48"/>
      <c r="H7" s="49" t="s">
        <v>51</v>
      </c>
      <c r="I7" s="50" t="s">
        <v>52</v>
      </c>
    </row>
    <row r="8" spans="1:9">
      <c r="A8" s="2"/>
      <c r="C8" t="s">
        <v>2</v>
      </c>
      <c r="D8" s="1">
        <v>10</v>
      </c>
      <c r="G8" s="51" t="s">
        <v>53</v>
      </c>
      <c r="H8" s="52">
        <f>D14*D15</f>
        <v>0.4</v>
      </c>
      <c r="I8" s="53">
        <f>D14*D15+D14*(1-D15)*D19+(1-D14)*D19</f>
        <v>0.46</v>
      </c>
    </row>
    <row r="9" spans="1:9" ht="13.5" thickBot="1">
      <c r="A9" s="2"/>
      <c r="C9" t="s">
        <v>3</v>
      </c>
      <c r="D9" s="1">
        <v>40</v>
      </c>
      <c r="G9" s="54" t="s">
        <v>54</v>
      </c>
      <c r="H9" s="55">
        <f>D8+D14*D9+D14*D15*D10</f>
        <v>30.8</v>
      </c>
      <c r="I9" s="56">
        <f>2*D8+2*D9*D14+D10*I8</f>
        <v>60.92</v>
      </c>
    </row>
    <row r="10" spans="1:9">
      <c r="A10" s="2"/>
      <c r="C10" t="s">
        <v>4</v>
      </c>
      <c r="D10" s="1">
        <v>2</v>
      </c>
    </row>
    <row r="11" spans="1:9">
      <c r="A11" s="2"/>
      <c r="D11" s="7"/>
      <c r="G11" s="27"/>
    </row>
    <row r="12" spans="1:9">
      <c r="A12" s="2"/>
      <c r="B12" s="1" t="s">
        <v>16</v>
      </c>
      <c r="D12" s="7"/>
      <c r="G12" s="19"/>
      <c r="H12" s="24"/>
    </row>
    <row r="13" spans="1:9">
      <c r="A13" s="2"/>
      <c r="C13" s="1" t="s">
        <v>20</v>
      </c>
      <c r="D13" s="7"/>
      <c r="G13" s="27"/>
      <c r="H13" s="24"/>
    </row>
    <row r="14" spans="1:9">
      <c r="A14" s="2"/>
      <c r="C14" t="s">
        <v>2</v>
      </c>
      <c r="D14" s="26">
        <v>0.5</v>
      </c>
      <c r="G14" s="1"/>
      <c r="H14" s="24"/>
      <c r="I14" s="1"/>
    </row>
    <row r="15" spans="1:9">
      <c r="A15" s="2"/>
      <c r="C15" t="s">
        <v>3</v>
      </c>
      <c r="D15" s="26">
        <v>0.8</v>
      </c>
      <c r="G15" s="1"/>
      <c r="H15" s="11"/>
    </row>
    <row r="16" spans="1:9">
      <c r="A16" s="2"/>
      <c r="D16" s="44"/>
    </row>
    <row r="17" spans="1:9">
      <c r="A17" s="2"/>
      <c r="C17" s="1" t="s">
        <v>29</v>
      </c>
      <c r="D17" s="44"/>
      <c r="I17" s="7"/>
    </row>
    <row r="18" spans="1:9">
      <c r="A18" s="2"/>
      <c r="C18" t="s">
        <v>33</v>
      </c>
      <c r="D18" s="26">
        <v>0.9</v>
      </c>
    </row>
    <row r="19" spans="1:9">
      <c r="A19" s="2"/>
      <c r="C19" t="s">
        <v>34</v>
      </c>
      <c r="D19" s="26">
        <v>0.1</v>
      </c>
    </row>
    <row r="20" spans="1:9">
      <c r="A20" s="2"/>
      <c r="D20" s="26"/>
    </row>
    <row r="21" spans="1:9">
      <c r="A21" s="2"/>
      <c r="B21" s="1" t="s">
        <v>17</v>
      </c>
      <c r="D21" s="26"/>
      <c r="H21" s="1"/>
    </row>
    <row r="22" spans="1:9">
      <c r="A22" s="2"/>
      <c r="C22" t="s">
        <v>7</v>
      </c>
      <c r="D22" s="1">
        <v>2012</v>
      </c>
    </row>
    <row r="23" spans="1:9">
      <c r="A23" s="2"/>
      <c r="C23" t="s">
        <v>8</v>
      </c>
      <c r="D23" s="1">
        <v>2015</v>
      </c>
    </row>
    <row r="24" spans="1:9">
      <c r="A24" s="2"/>
      <c r="C24" t="s">
        <v>9</v>
      </c>
      <c r="D24" s="1">
        <v>2022</v>
      </c>
    </row>
    <row r="25" spans="1:9">
      <c r="A25" s="2"/>
      <c r="C25" t="s">
        <v>10</v>
      </c>
      <c r="D25" s="1">
        <v>2030</v>
      </c>
    </row>
    <row r="26" spans="1:9">
      <c r="A26" s="2"/>
      <c r="C26" t="s">
        <v>11</v>
      </c>
      <c r="D26" s="1">
        <v>500</v>
      </c>
      <c r="H26" s="1"/>
    </row>
    <row r="27" spans="1:9">
      <c r="A27" s="2"/>
      <c r="C27" t="s">
        <v>12</v>
      </c>
      <c r="D27" s="15">
        <f>(D26-0)/(D23-D22)</f>
        <v>166.66666666666666</v>
      </c>
      <c r="H27" s="1"/>
    </row>
    <row r="28" spans="1:9">
      <c r="A28" s="2"/>
      <c r="C28" t="s">
        <v>13</v>
      </c>
      <c r="D28" s="7">
        <f>(0-D26)/(D25-D24)</f>
        <v>-62.5</v>
      </c>
      <c r="H28" s="1"/>
    </row>
    <row r="29" spans="1:9">
      <c r="A29" s="2"/>
      <c r="D29" s="26"/>
      <c r="H29" s="1"/>
    </row>
    <row r="30" spans="1:9">
      <c r="A30" s="2"/>
      <c r="B30" s="1" t="s">
        <v>18</v>
      </c>
      <c r="C30" s="1"/>
      <c r="D30" s="7"/>
      <c r="H30" s="1"/>
    </row>
    <row r="31" spans="1:9">
      <c r="A31" s="2"/>
      <c r="C31" s="7" t="s">
        <v>14</v>
      </c>
      <c r="D31" s="59">
        <v>0.75</v>
      </c>
      <c r="H31" s="1"/>
    </row>
    <row r="32" spans="1:9">
      <c r="A32" s="2" t="s">
        <v>67</v>
      </c>
      <c r="D32" s="8"/>
      <c r="H32" s="1"/>
    </row>
    <row r="33" spans="1:22" s="1" customFormat="1">
      <c r="D33" s="1">
        <f>D22</f>
        <v>2012</v>
      </c>
      <c r="E33" s="1">
        <f>D33+1</f>
        <v>2013</v>
      </c>
      <c r="F33" s="1">
        <f t="shared" ref="F33:V33" si="0">E33+1</f>
        <v>2014</v>
      </c>
      <c r="G33" s="1">
        <f t="shared" si="0"/>
        <v>2015</v>
      </c>
      <c r="H33" s="1">
        <f t="shared" si="0"/>
        <v>2016</v>
      </c>
      <c r="I33" s="1">
        <f t="shared" si="0"/>
        <v>2017</v>
      </c>
      <c r="J33" s="1">
        <f t="shared" si="0"/>
        <v>2018</v>
      </c>
      <c r="K33" s="1">
        <f t="shared" si="0"/>
        <v>2019</v>
      </c>
      <c r="L33" s="1">
        <f t="shared" si="0"/>
        <v>2020</v>
      </c>
      <c r="M33" s="1">
        <f t="shared" si="0"/>
        <v>2021</v>
      </c>
      <c r="N33" s="1">
        <f t="shared" si="0"/>
        <v>2022</v>
      </c>
      <c r="O33" s="1">
        <f t="shared" si="0"/>
        <v>2023</v>
      </c>
      <c r="P33" s="1">
        <f t="shared" si="0"/>
        <v>2024</v>
      </c>
      <c r="Q33" s="1">
        <f t="shared" si="0"/>
        <v>2025</v>
      </c>
      <c r="R33" s="1">
        <f t="shared" si="0"/>
        <v>2026</v>
      </c>
      <c r="S33" s="1">
        <f t="shared" si="0"/>
        <v>2027</v>
      </c>
      <c r="T33" s="1">
        <f t="shared" si="0"/>
        <v>2028</v>
      </c>
      <c r="U33" s="1">
        <f t="shared" si="0"/>
        <v>2029</v>
      </c>
      <c r="V33" s="1">
        <f t="shared" si="0"/>
        <v>2030</v>
      </c>
    </row>
    <row r="34" spans="1:22">
      <c r="A34" s="1"/>
      <c r="B34" s="1" t="s">
        <v>19</v>
      </c>
      <c r="D34" s="6">
        <f t="shared" ref="D34:V34" si="1">IF(D33&lt;=$D$22,0,IF(D33&lt;=$D$23,($D$27*(D33-$D$33)),IF(D33&lt;=$D$24,$D$26,IF(D33&lt;=$D$25,$D$26-(($D$24-D33)*$D$28),0))))</f>
        <v>0</v>
      </c>
      <c r="E34" s="6">
        <f t="shared" si="1"/>
        <v>166.66666666666666</v>
      </c>
      <c r="F34" s="6">
        <f t="shared" si="1"/>
        <v>333.33333333333331</v>
      </c>
      <c r="G34" s="6">
        <f t="shared" si="1"/>
        <v>500</v>
      </c>
      <c r="H34" s="6">
        <f t="shared" si="1"/>
        <v>500</v>
      </c>
      <c r="I34" s="6">
        <f t="shared" si="1"/>
        <v>500</v>
      </c>
      <c r="J34" s="6">
        <f t="shared" si="1"/>
        <v>500</v>
      </c>
      <c r="K34" s="6">
        <f t="shared" si="1"/>
        <v>500</v>
      </c>
      <c r="L34" s="6">
        <f t="shared" si="1"/>
        <v>500</v>
      </c>
      <c r="M34" s="6">
        <f t="shared" si="1"/>
        <v>500</v>
      </c>
      <c r="N34" s="6">
        <f t="shared" si="1"/>
        <v>500</v>
      </c>
      <c r="O34" s="6">
        <f t="shared" si="1"/>
        <v>437.5</v>
      </c>
      <c r="P34" s="6">
        <f t="shared" si="1"/>
        <v>375</v>
      </c>
      <c r="Q34" s="6">
        <f t="shared" si="1"/>
        <v>312.5</v>
      </c>
      <c r="R34" s="6">
        <f t="shared" si="1"/>
        <v>250</v>
      </c>
      <c r="S34" s="6">
        <f t="shared" si="1"/>
        <v>187.5</v>
      </c>
      <c r="T34" s="6">
        <f t="shared" si="1"/>
        <v>125</v>
      </c>
      <c r="U34" s="6">
        <f t="shared" si="1"/>
        <v>62.5</v>
      </c>
      <c r="V34" s="6">
        <f t="shared" si="1"/>
        <v>0</v>
      </c>
    </row>
    <row r="35" spans="1:22">
      <c r="A35" s="1"/>
    </row>
    <row r="36" spans="1:22">
      <c r="A36" s="1"/>
      <c r="B36" s="27" t="s">
        <v>64</v>
      </c>
      <c r="D36" s="6">
        <f>$D$31*D34*INDEX($H$8:$I$8,$G$5)</f>
        <v>0</v>
      </c>
      <c r="E36" s="6">
        <f t="shared" ref="E36:V36" si="2">$D$31*E34*INDEX($H$8:$I$8,$G$5)</f>
        <v>50</v>
      </c>
      <c r="F36" s="6">
        <f t="shared" si="2"/>
        <v>100</v>
      </c>
      <c r="G36" s="6">
        <f t="shared" si="2"/>
        <v>150</v>
      </c>
      <c r="H36" s="6">
        <f t="shared" si="2"/>
        <v>150</v>
      </c>
      <c r="I36" s="6">
        <f t="shared" si="2"/>
        <v>150</v>
      </c>
      <c r="J36" s="6">
        <f t="shared" si="2"/>
        <v>150</v>
      </c>
      <c r="K36" s="6">
        <f t="shared" si="2"/>
        <v>150</v>
      </c>
      <c r="L36" s="6">
        <f t="shared" si="2"/>
        <v>150</v>
      </c>
      <c r="M36" s="6">
        <f t="shared" si="2"/>
        <v>150</v>
      </c>
      <c r="N36" s="6">
        <f t="shared" si="2"/>
        <v>150</v>
      </c>
      <c r="O36" s="6">
        <f t="shared" si="2"/>
        <v>131.25</v>
      </c>
      <c r="P36" s="6">
        <f t="shared" si="2"/>
        <v>112.5</v>
      </c>
      <c r="Q36" s="6">
        <f t="shared" si="2"/>
        <v>93.75</v>
      </c>
      <c r="R36" s="6">
        <f t="shared" si="2"/>
        <v>75</v>
      </c>
      <c r="S36" s="6">
        <f t="shared" si="2"/>
        <v>56.25</v>
      </c>
      <c r="T36" s="6">
        <f t="shared" si="2"/>
        <v>37.5</v>
      </c>
      <c r="U36" s="6">
        <f t="shared" si="2"/>
        <v>18.75</v>
      </c>
      <c r="V36" s="6">
        <f t="shared" si="2"/>
        <v>0</v>
      </c>
    </row>
    <row r="37" spans="1:22">
      <c r="A37" s="1"/>
    </row>
    <row r="38" spans="1:22">
      <c r="A38" s="1"/>
      <c r="B38" s="27" t="s">
        <v>65</v>
      </c>
      <c r="C38" s="16">
        <f>NPV(D5,D36:V36)</f>
        <v>857.76755889151445</v>
      </c>
    </row>
    <row r="39" spans="1:22">
      <c r="A39" s="1"/>
      <c r="C39" s="7"/>
      <c r="D39" s="13"/>
    </row>
    <row r="40" spans="1:22">
      <c r="A40" s="1"/>
      <c r="B40" s="27" t="s">
        <v>55</v>
      </c>
      <c r="C40" s="15">
        <f>INDEX(H9:I9,G5)</f>
        <v>30.8</v>
      </c>
      <c r="D40" s="13"/>
    </row>
    <row r="41" spans="1:22">
      <c r="C41" s="7"/>
    </row>
    <row r="42" spans="1:22">
      <c r="B42" s="27" t="s">
        <v>56</v>
      </c>
      <c r="C42" s="15">
        <f>C38/C40</f>
        <v>27.849596067906312</v>
      </c>
    </row>
    <row r="45" spans="1:22">
      <c r="B45" s="1"/>
    </row>
    <row r="46" spans="1:22">
      <c r="B46" s="1"/>
      <c r="C46" s="28"/>
    </row>
    <row r="47" spans="1:22">
      <c r="B47" s="1"/>
      <c r="C47" s="25"/>
    </row>
    <row r="48" spans="1:22">
      <c r="B48" s="1"/>
      <c r="C48" s="25"/>
    </row>
    <row r="49" spans="2:3">
      <c r="B49" s="1"/>
    </row>
    <row r="50" spans="2:3">
      <c r="B50" s="27"/>
    </row>
    <row r="51" spans="2:3">
      <c r="B51" s="1"/>
      <c r="C51" s="28"/>
    </row>
    <row r="52" spans="2:3">
      <c r="B52" s="1"/>
      <c r="C52" s="25"/>
    </row>
    <row r="53" spans="2:3">
      <c r="B53" s="1"/>
      <c r="C53" s="29"/>
    </row>
    <row r="54" spans="2:3">
      <c r="B54" s="1"/>
    </row>
    <row r="55" spans="2:3">
      <c r="B55" s="1"/>
    </row>
  </sheetData>
  <mergeCells count="1">
    <mergeCell ref="H4:I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Fig 11.1</vt:lpstr>
      <vt:lpstr>Fig 11.3</vt:lpstr>
      <vt:lpstr>Fig 11.4</vt:lpstr>
      <vt:lpstr>Fig 11.5</vt:lpstr>
      <vt:lpstr>Fig 11.6</vt:lpstr>
      <vt:lpstr>Fig 11.7 Tornado Chart - NPI</vt:lpstr>
      <vt:lpstr>Fig 11.8 DataSens-license fee</vt:lpstr>
      <vt:lpstr>Fig 11.9</vt:lpstr>
      <vt:lpstr>Fig 11.10</vt:lpstr>
      <vt:lpstr>Fig 11.11</vt:lpstr>
      <vt:lpstr>Tornado on dates</vt:lpstr>
      <vt:lpstr>License model</vt:lpstr>
      <vt:lpstr>Base case outcome chart</vt:lpstr>
      <vt:lpstr>'Fig 11.1'!TreeData</vt:lpstr>
      <vt:lpstr>'Fig 11.11'!TreeData</vt:lpstr>
      <vt:lpstr>'Fig 11.3'!TreeData</vt:lpstr>
      <vt:lpstr>'Fig 11.1'!TreeDiagBase</vt:lpstr>
      <vt:lpstr>'Fig 11.11'!TreeDiagBase</vt:lpstr>
      <vt:lpstr>'Fig 11.3'!TreeDiagBase</vt:lpstr>
      <vt:lpstr>'Fig 11.1'!TreeDiagram</vt:lpstr>
      <vt:lpstr>'Fig 11.11'!TreeDiagram</vt:lpstr>
      <vt:lpstr>'Fig 11.3'!TreeDiagram</vt:lpstr>
    </vt:vector>
  </TitlesOfParts>
  <Company>The Tuck School at Dartmouth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Steve.Powell</cp:lastModifiedBy>
  <dcterms:created xsi:type="dcterms:W3CDTF">2007-04-22T20:45:13Z</dcterms:created>
  <dcterms:modified xsi:type="dcterms:W3CDTF">2008-09-14T14:42:13Z</dcterms:modified>
</cp:coreProperties>
</file>